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fr113134/Desktop/FPI et Mode opératoire et méthodologie/"/>
    </mc:Choice>
  </mc:AlternateContent>
  <xr:revisionPtr revIDLastSave="0" documentId="13_ncr:1_{9C7E296E-9520-5348-852A-D15AB4FB9335}" xr6:coauthVersionLast="47" xr6:coauthVersionMax="47" xr10:uidLastSave="{00000000-0000-0000-0000-000000000000}"/>
  <bookViews>
    <workbookView xWindow="0" yWindow="500" windowWidth="28800" windowHeight="16180" xr2:uid="{7AF63461-F25A-4083-8517-83FD9E6BDAFE}"/>
  </bookViews>
  <sheets>
    <sheet name="FPI MODELE 2025" sheetId="5" r:id="rId1"/>
    <sheet name="DATA" sheetId="3" state="hidden" r:id="rId2"/>
  </sheets>
  <definedNames>
    <definedName name="_xlnm._FilterDatabase" localSheetId="1" hidden="1">DATA!$BT$1:$BX$70</definedName>
    <definedName name="a" localSheetId="1" hidden="1">DATA!$BJ$1:$BO$678</definedName>
    <definedName name="bonus_A">DATA!$Y$2:$Y$2</definedName>
    <definedName name="bonus_B">DATA!$Z$2:$Z$3</definedName>
    <definedName name="bonus_C">DATA!$AA$2:$AA$2</definedName>
    <definedName name="Choix_de_la_filière">DATA!$AB$2:$AB$2</definedName>
    <definedName name="Elements_filière">DATA!#REF!</definedName>
    <definedName name="Elements_liste">DATA!$BJ$2:$BJ$105</definedName>
    <definedName name="Elements_nature">DATA!$BL:$BL</definedName>
    <definedName name="Elements_nom">DATA!$BK:$BK</definedName>
    <definedName name="Elements_valeurs_N1">DATA!$BO:$BO</definedName>
    <definedName name="Elements_valeurs_N2">DATA!$BN:$BN</definedName>
    <definedName name="Elements_valeurs_N3">DATA!$BM:$BM</definedName>
    <definedName name="Engagt_filière">DATA!$BD$1:$BD$172</definedName>
    <definedName name="Engagt_liste">DATA!$AZ$2:$AZ$71</definedName>
    <definedName name="Engagt_N1">DATA!$AZ$2:$AZ$46</definedName>
    <definedName name="Engagt_N2">DATA!$BA$2:$BA$29</definedName>
    <definedName name="Engagt_N3">DATA!$BB$2:$BB$25</definedName>
    <definedName name="Engagt_nom">DATA!$BE$1:$BE$172</definedName>
    <definedName name="Engagt_valeur">DATA!$BF$1:$BF$172</definedName>
    <definedName name="ff" localSheetId="1" hidden="1">DATA!$A$1:$BW$654</definedName>
    <definedName name="FILIERE">DATA!$A$1:$A$5</definedName>
    <definedName name="MG_N1">DATA!$CU$1:$CU$83</definedName>
    <definedName name="MG_N2">DATA!$CQ$1:$CQ$55</definedName>
    <definedName name="MG_N3">DATA!$CM$1:$CM$35</definedName>
    <definedName name="MGH_N1">DATA!$CW$1:$CW$171</definedName>
    <definedName name="MGH_N2">DATA!$CS$1:$CS$64</definedName>
    <definedName name="MGH_N3">DATA!$CO$1:$CO$25</definedName>
    <definedName name="MGH_VALEUR_N1">DATA!$CW:$CX</definedName>
    <definedName name="MGH_VALEUR_N2">DATA!$CS:$CT</definedName>
    <definedName name="MGH_VALEUR_N3">DATA!$CO:$CP</definedName>
    <definedName name="MGL_N1">DATA!$CY$1:$CY$171</definedName>
    <definedName name="MGL_VALEUR_N1">DATA!$CY:$CZ</definedName>
    <definedName name="MGV_N1">DATA!$CU$1:$CU$250</definedName>
    <definedName name="MGV_N2">DATA!$CQ$1:$CQ$116</definedName>
    <definedName name="MGV_N3">DATA!$CM$1:$CM$52</definedName>
    <definedName name="MGV_VALEUR_N1">DATA!$CU:$CV</definedName>
    <definedName name="MGV_VALEUR_N2">DATA!$CQ:$CR</definedName>
    <definedName name="MGV_VALEUR_N3">DATA!$CM:$CN</definedName>
    <definedName name="Nationale_3">DATA!$AF$2:$AF$14</definedName>
    <definedName name="Rattr_filière">DATA!$BU:$BU</definedName>
    <definedName name="Rattr_liste">DATA!$BQ$2:$BQ$149</definedName>
    <definedName name="Rattr_N1">DATA!$BQ$2:$BQ$104</definedName>
    <definedName name="Rattr_N2">DATA!$BR$2:$BR$36</definedName>
    <definedName name="Rattr_N3">DATA!$BS$2:$BS$26</definedName>
    <definedName name="Rattr_nom">DATA!$BV:$BV</definedName>
    <definedName name="Rattr_valeur_H">DATA!$BX:$BX</definedName>
    <definedName name="Rattr_valeur_V">DATA!$BW:$BW</definedName>
    <definedName name="RH_N1">DATA!$CB$1:$CB$90</definedName>
    <definedName name="RH_N2">DATA!$CF$1:$CF$49</definedName>
    <definedName name="RH_N3">DATA!$CH$1:$CH$50</definedName>
    <definedName name="RH_VALEUR_N1">DATA!$CB:$CC</definedName>
    <definedName name="RH_VALEUR_N2">DATA!$CF:$CG</definedName>
    <definedName name="RH_VALEUR_N3">DATA!$CH:$CI</definedName>
    <definedName name="RV_N1">DATA!$BZ$1:$BZ$130</definedName>
    <definedName name="RV_N2">DATA!$CD$1:$CD$86</definedName>
    <definedName name="RV_N3">DATA!$CJ$1:$CJ$75</definedName>
    <definedName name="RV_VALEUR_N1">DATA!$BZ:$CA</definedName>
    <definedName name="RV_VALEUR_N2">DATA!$CD:$CE</definedName>
    <definedName name="RV_VALEUR_N3">DATA!$CJ:$CK</definedName>
    <definedName name="_xlnm.Print_Area" localSheetId="0">'FPI MODELE 2025'!$A$1:$BH$43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5" l="1"/>
  <c r="T13" i="5"/>
  <c r="T9" i="5"/>
  <c r="AT39" i="5"/>
  <c r="J36" i="5"/>
  <c r="AK1" i="5"/>
  <c r="Q4" i="5" l="1"/>
  <c r="M33" i="5"/>
  <c r="D33" i="5"/>
  <c r="AD25" i="5"/>
  <c r="AC25" i="5"/>
  <c r="AB25" i="5"/>
  <c r="AA25" i="5"/>
  <c r="Z25" i="5"/>
  <c r="Y25" i="5"/>
  <c r="X25" i="5"/>
  <c r="W25" i="5"/>
  <c r="S25" i="5"/>
  <c r="R25" i="5"/>
  <c r="Q25" i="5"/>
  <c r="AD21" i="5"/>
  <c r="AC21" i="5"/>
  <c r="AB21" i="5"/>
  <c r="AA21" i="5"/>
  <c r="Z21" i="5"/>
  <c r="Y21" i="5"/>
  <c r="X21" i="5"/>
  <c r="W21" i="5"/>
  <c r="U21" i="5"/>
  <c r="S21" i="5"/>
  <c r="T21" i="5" s="1"/>
  <c r="R21" i="5"/>
  <c r="Q21" i="5"/>
  <c r="P21" i="5" s="1"/>
  <c r="AD17" i="5"/>
  <c r="AC17" i="5"/>
  <c r="AB17" i="5"/>
  <c r="AA17" i="5"/>
  <c r="Z17" i="5"/>
  <c r="Y17" i="5"/>
  <c r="X17" i="5"/>
  <c r="W17" i="5"/>
  <c r="U17" i="5"/>
  <c r="S17" i="5"/>
  <c r="R17" i="5"/>
  <c r="Q17" i="5"/>
  <c r="P17" i="5" s="1"/>
  <c r="AD13" i="5"/>
  <c r="AC13" i="5"/>
  <c r="AB13" i="5"/>
  <c r="AA13" i="5"/>
  <c r="Z13" i="5"/>
  <c r="Y13" i="5"/>
  <c r="X13" i="5"/>
  <c r="W13" i="5"/>
  <c r="S13" i="5"/>
  <c r="R13" i="5"/>
  <c r="Q13" i="5"/>
  <c r="P13" i="5" s="1"/>
  <c r="AD9" i="5"/>
  <c r="AC9" i="5"/>
  <c r="AB9" i="5"/>
  <c r="AA9" i="5"/>
  <c r="Z9" i="5"/>
  <c r="Y9" i="5"/>
  <c r="X9" i="5"/>
  <c r="W9" i="5"/>
  <c r="S9" i="5"/>
  <c r="R9" i="5"/>
  <c r="Q9" i="5"/>
  <c r="AJ4" i="5"/>
  <c r="AJ3" i="5"/>
  <c r="AG3" i="5"/>
  <c r="AF3" i="5"/>
  <c r="AE3" i="5"/>
  <c r="AD3" i="5"/>
  <c r="AC3" i="5"/>
  <c r="AB3" i="5"/>
  <c r="AA3" i="5"/>
  <c r="Z3" i="5"/>
  <c r="Y3" i="5"/>
  <c r="X3" i="5"/>
  <c r="AK2" i="5"/>
  <c r="AJ2" i="5"/>
  <c r="AJ1" i="5"/>
  <c r="W1" i="5"/>
  <c r="AA1" i="5" s="1"/>
  <c r="H36" i="5" s="1"/>
  <c r="T17" i="5" l="1"/>
  <c r="AO17" i="5" s="1"/>
  <c r="BF37" i="5"/>
  <c r="AN36" i="5"/>
  <c r="F36" i="5"/>
  <c r="AN38" i="5"/>
  <c r="M38" i="5"/>
  <c r="E38" i="5"/>
  <c r="M36" i="5"/>
  <c r="J38" i="5"/>
  <c r="L36" i="5"/>
  <c r="J40" i="5" s="1"/>
  <c r="L38" i="5"/>
  <c r="A38" i="5"/>
  <c r="E36" i="5"/>
  <c r="E34" i="5"/>
  <c r="H34" i="5"/>
  <c r="L34" i="5"/>
  <c r="AW15" i="5"/>
  <c r="BE15" i="5"/>
  <c r="AW23" i="5"/>
  <c r="BA19" i="5"/>
  <c r="BA27" i="5"/>
  <c r="BE23" i="5"/>
  <c r="BA11" i="5"/>
  <c r="AU11" i="5"/>
  <c r="AX11" i="5"/>
  <c r="AT15" i="5"/>
  <c r="BB15" i="5"/>
  <c r="AX19" i="5"/>
  <c r="AT23" i="5"/>
  <c r="BB23" i="5"/>
  <c r="AX27" i="5"/>
  <c r="AY11" i="5"/>
  <c r="AU15" i="5"/>
  <c r="BC15" i="5"/>
  <c r="AY19" i="5"/>
  <c r="AU23" i="5"/>
  <c r="BC23" i="5"/>
  <c r="AY27" i="5"/>
  <c r="AZ11" i="5"/>
  <c r="AV15" i="5"/>
  <c r="BD15" i="5"/>
  <c r="AZ19" i="5"/>
  <c r="AV23" i="5"/>
  <c r="BD23" i="5"/>
  <c r="AZ27" i="5"/>
  <c r="BB11" i="5"/>
  <c r="AX15" i="5"/>
  <c r="AT19" i="5"/>
  <c r="BB19" i="5"/>
  <c r="AX23" i="5"/>
  <c r="AT27" i="5"/>
  <c r="BB27" i="5"/>
  <c r="AT11" i="5"/>
  <c r="BC11" i="5"/>
  <c r="AY15" i="5"/>
  <c r="AU19" i="5"/>
  <c r="BC19" i="5"/>
  <c r="AY23" i="5"/>
  <c r="AU27" i="5"/>
  <c r="BC27" i="5"/>
  <c r="AV11" i="5"/>
  <c r="BD11" i="5"/>
  <c r="AZ15" i="5"/>
  <c r="AV19" i="5"/>
  <c r="BD19" i="5"/>
  <c r="AZ23" i="5"/>
  <c r="AV27" i="5"/>
  <c r="BD27" i="5"/>
  <c r="AW11" i="5"/>
  <c r="BE11" i="5"/>
  <c r="BA15" i="5"/>
  <c r="AW19" i="5"/>
  <c r="BE19" i="5"/>
  <c r="BA23" i="5"/>
  <c r="AW27" i="5"/>
  <c r="BE27" i="5"/>
  <c r="AO21" i="5"/>
  <c r="AG13" i="5"/>
  <c r="AH9" i="5"/>
  <c r="AN34" i="5"/>
  <c r="AH13" i="5"/>
  <c r="M18" i="5"/>
  <c r="M22" i="5"/>
  <c r="M10" i="5"/>
  <c r="AH25" i="5"/>
  <c r="BF38" i="5"/>
  <c r="AF13" i="5"/>
  <c r="AF17" i="5"/>
  <c r="AH21" i="5"/>
  <c r="AF21" i="5"/>
  <c r="M26" i="5"/>
  <c r="D10" i="5"/>
  <c r="F10" i="5"/>
  <c r="I14" i="5"/>
  <c r="AG17" i="5"/>
  <c r="D18" i="5"/>
  <c r="L18" i="5"/>
  <c r="G22" i="5"/>
  <c r="AE25" i="5"/>
  <c r="J26" i="5"/>
  <c r="AE17" i="5"/>
  <c r="J18" i="5"/>
  <c r="AE13" i="5"/>
  <c r="J14" i="5"/>
  <c r="AH17" i="5"/>
  <c r="E18" i="5"/>
  <c r="H22" i="5"/>
  <c r="P25" i="5"/>
  <c r="U25" i="5" s="1"/>
  <c r="AO25" i="5" s="1"/>
  <c r="AF25" i="5"/>
  <c r="K26" i="5"/>
  <c r="AG9" i="5"/>
  <c r="L10" i="5"/>
  <c r="H10" i="5"/>
  <c r="K14" i="5"/>
  <c r="F18" i="5"/>
  <c r="I22" i="5"/>
  <c r="AG25" i="5"/>
  <c r="D26" i="5"/>
  <c r="L26" i="5"/>
  <c r="I10" i="5"/>
  <c r="D14" i="5"/>
  <c r="L14" i="5"/>
  <c r="G18" i="5"/>
  <c r="AE21" i="5"/>
  <c r="J22" i="5"/>
  <c r="E26" i="5"/>
  <c r="AE9" i="5"/>
  <c r="J10" i="5"/>
  <c r="M14" i="5"/>
  <c r="H18" i="5"/>
  <c r="K22" i="5"/>
  <c r="F26" i="5"/>
  <c r="E14" i="5"/>
  <c r="P9" i="5"/>
  <c r="AF9" i="5"/>
  <c r="K10" i="5"/>
  <c r="F14" i="5"/>
  <c r="I18" i="5"/>
  <c r="AG21" i="5"/>
  <c r="D22" i="5"/>
  <c r="L22" i="5"/>
  <c r="G26" i="5"/>
  <c r="E22" i="5"/>
  <c r="H26" i="5"/>
  <c r="G14" i="5"/>
  <c r="E10" i="5"/>
  <c r="H14" i="5"/>
  <c r="K18" i="5"/>
  <c r="F22" i="5"/>
  <c r="I26" i="5"/>
  <c r="AH38" i="3"/>
  <c r="U9" i="5" l="1"/>
  <c r="U13" i="5"/>
  <c r="AO13" i="5" s="1"/>
  <c r="H40" i="5"/>
  <c r="A40" i="5" s="1"/>
  <c r="AL40" i="5"/>
  <c r="B25" i="5"/>
  <c r="B9" i="5"/>
  <c r="AT33" i="5" s="1"/>
  <c r="W2" i="5"/>
  <c r="B13" i="5"/>
  <c r="AT34" i="5" s="1"/>
  <c r="AC1" i="5"/>
  <c r="B21" i="5"/>
  <c r="AT36" i="5" s="1"/>
  <c r="B17" i="5"/>
  <c r="AT35" i="5" s="1"/>
  <c r="AI25" i="5"/>
  <c r="AI21" i="5"/>
  <c r="AI9" i="5"/>
  <c r="AI13" i="5"/>
  <c r="D8" i="5"/>
  <c r="N25" i="5"/>
  <c r="N17" i="5"/>
  <c r="AI17" i="5"/>
  <c r="N21" i="5"/>
  <c r="N13" i="5"/>
  <c r="N9" i="5"/>
  <c r="M8" i="5" l="1"/>
  <c r="AO9" i="5"/>
  <c r="AJ17" i="5"/>
  <c r="AK17" i="5" s="1"/>
  <c r="AJ13" i="5"/>
  <c r="AK13" i="5" s="1"/>
  <c r="AJ9" i="5"/>
  <c r="AK9" i="5" s="1"/>
  <c r="BF32" i="5" s="1"/>
  <c r="AJ25" i="5"/>
  <c r="AJ21" i="5"/>
  <c r="AK21" i="5" s="1"/>
  <c r="V13" i="5"/>
  <c r="AL13" i="5" s="1"/>
  <c r="V21" i="5"/>
  <c r="AL21" i="5" s="1"/>
  <c r="V17" i="5"/>
  <c r="AL17" i="5" s="1"/>
  <c r="V25" i="5"/>
  <c r="AL25" i="5" s="1"/>
  <c r="AK25" i="5"/>
  <c r="N29" i="5"/>
  <c r="N30" i="5"/>
  <c r="BF39" i="5" s="1"/>
  <c r="V9" i="5"/>
  <c r="AL9" i="5" s="1"/>
  <c r="BF36" i="5" l="1"/>
  <c r="AR25" i="5"/>
  <c r="AR9" i="5"/>
  <c r="AR21" i="5"/>
  <c r="BF35" i="5"/>
  <c r="AR17" i="5"/>
  <c r="BF34" i="5"/>
  <c r="N31" i="5"/>
  <c r="BF33" i="5"/>
  <c r="AR13" i="5"/>
</calcChain>
</file>

<file path=xl/sharedStrings.xml><?xml version="1.0" encoding="utf-8"?>
<sst xmlns="http://schemas.openxmlformats.org/spreadsheetml/2006/main" count="2432" uniqueCount="1131">
  <si>
    <t>NOM</t>
  </si>
  <si>
    <t>PRENOM</t>
  </si>
  <si>
    <t>PSRV</t>
  </si>
  <si>
    <t>PCS</t>
  </si>
  <si>
    <t>GCS</t>
  </si>
  <si>
    <t>D/F</t>
  </si>
  <si>
    <t>BP</t>
  </si>
  <si>
    <t>DIFF</t>
  </si>
  <si>
    <t>RS</t>
  </si>
  <si>
    <t>REC</t>
  </si>
  <si>
    <t>REB</t>
  </si>
  <si>
    <t>RE2L</t>
  </si>
  <si>
    <t>CLUB</t>
  </si>
  <si>
    <t>RESERVÉ AU JUGE</t>
  </si>
  <si>
    <t>ENGAGEMENT</t>
  </si>
  <si>
    <t>SOUS LE BATON</t>
  </si>
  <si>
    <t>RATTRAPAGE</t>
  </si>
  <si>
    <t>Test Horizontal</t>
  </si>
  <si>
    <t>Test Ext MD</t>
  </si>
  <si>
    <t>Test doublon Engagement</t>
  </si>
  <si>
    <t>Test doublon Rattrapage</t>
  </si>
  <si>
    <t>Nature élément #1</t>
  </si>
  <si>
    <t>Nature élément #2</t>
  </si>
  <si>
    <t>Nature élément #3</t>
  </si>
  <si>
    <t>Nature élément #4</t>
  </si>
  <si>
    <t>Nature élément #5</t>
  </si>
  <si>
    <t>Nature élément #6</t>
  </si>
  <si>
    <t>Nature élément #7</t>
  </si>
  <si>
    <t>Nature élément #8</t>
  </si>
  <si>
    <t>Nature Pivot</t>
  </si>
  <si>
    <t>Nature Sur place</t>
  </si>
  <si>
    <t>Nature Petit D</t>
  </si>
  <si>
    <t>Nature Grand</t>
  </si>
  <si>
    <t>Nature D</t>
  </si>
  <si>
    <t>Chuté Corps 
ou Baton</t>
  </si>
  <si>
    <t>1 Faute</t>
  </si>
  <si>
    <t>2 Fautes</t>
  </si>
  <si>
    <t>3 Fautes</t>
  </si>
  <si>
    <t>+0,5</t>
  </si>
  <si>
    <t>+1</t>
  </si>
  <si>
    <t>Nature libre</t>
  </si>
  <si>
    <t>-0,5</t>
  </si>
  <si>
    <t>-1</t>
  </si>
  <si>
    <t>-1,5</t>
  </si>
  <si>
    <t>= 0</t>
  </si>
  <si>
    <t>Nom</t>
  </si>
  <si>
    <t>Valeur</t>
  </si>
  <si>
    <t>JUGE</t>
  </si>
  <si>
    <t>TOTAL</t>
  </si>
  <si>
    <t>NOTE MOYENNE</t>
  </si>
  <si>
    <t>PÉNALITÉ(S) OBLIGATOIRES NON RESPECTÉS :</t>
  </si>
  <si>
    <t>Choix_de_la_filière</t>
  </si>
  <si>
    <t>Filière_associée</t>
  </si>
  <si>
    <t>Engagements associés</t>
  </si>
  <si>
    <t>Rattrapages associés</t>
  </si>
  <si>
    <t>bonus_A</t>
  </si>
  <si>
    <t>bonus_B</t>
  </si>
  <si>
    <t>bonus_C</t>
  </si>
  <si>
    <t>Nationale_3</t>
  </si>
  <si>
    <t>L1</t>
  </si>
  <si>
    <t>L2</t>
  </si>
  <si>
    <t>L3</t>
  </si>
  <si>
    <t>L4</t>
  </si>
  <si>
    <t>L5</t>
  </si>
  <si>
    <t>L6</t>
  </si>
  <si>
    <t>NB L</t>
  </si>
  <si>
    <t>Min</t>
  </si>
  <si>
    <t>Max</t>
  </si>
  <si>
    <t>Valeur MAXIMUM</t>
  </si>
  <si>
    <t>CAT DES ELEMENTS LANCES</t>
  </si>
  <si>
    <t>Engagt_N1</t>
  </si>
  <si>
    <t>Engagt_N2</t>
  </si>
  <si>
    <t>Engagt_N3</t>
  </si>
  <si>
    <t>Engagt_filière</t>
  </si>
  <si>
    <t>Engagt_nom</t>
  </si>
  <si>
    <t>Engagt_valeur</t>
  </si>
  <si>
    <t>Horizontal ?</t>
  </si>
  <si>
    <t>Ext MD ?</t>
  </si>
  <si>
    <t>Elements_liste</t>
  </si>
  <si>
    <t>Elements_nom</t>
  </si>
  <si>
    <t>Elements_nature</t>
  </si>
  <si>
    <t>Rattr_N1</t>
  </si>
  <si>
    <t>Rattr_N2</t>
  </si>
  <si>
    <t>Rattr_N3</t>
  </si>
  <si>
    <t>Rattr_filière</t>
  </si>
  <si>
    <t>Rattr_nom</t>
  </si>
  <si>
    <t>N1</t>
  </si>
  <si>
    <t>Choix de la catégorie</t>
  </si>
  <si>
    <t>Nationale_3Poussine</t>
  </si>
  <si>
    <t>LIBRE</t>
  </si>
  <si>
    <t>LIBRE (si option 3 lancés)</t>
  </si>
  <si>
    <t>-</t>
  </si>
  <si>
    <t>2 ou 3</t>
  </si>
  <si>
    <t>1 déboulé</t>
  </si>
  <si>
    <t>N1 / toutes catégories</t>
  </si>
  <si>
    <t>SP</t>
  </si>
  <si>
    <t>N2</t>
  </si>
  <si>
    <t>interdit</t>
  </si>
  <si>
    <t>Benjamine</t>
  </si>
  <si>
    <t>Poussine</t>
  </si>
  <si>
    <t>Nationale_3Benjamine</t>
  </si>
  <si>
    <t>PIVOT</t>
  </si>
  <si>
    <t>SUR PLACE</t>
  </si>
  <si>
    <t>DEPLACEMENT</t>
  </si>
  <si>
    <t>3 ou 4</t>
  </si>
  <si>
    <t>1 tour</t>
  </si>
  <si>
    <t>N3</t>
  </si>
  <si>
    <t>Minime</t>
  </si>
  <si>
    <t>Nationale_3Minime</t>
  </si>
  <si>
    <t>N3 /  Minime</t>
  </si>
  <si>
    <t>2 tours</t>
  </si>
  <si>
    <t>Cadette</t>
  </si>
  <si>
    <t>Nationale_3Cadette</t>
  </si>
  <si>
    <t>N3 /  Cadet, Junior, Senior</t>
  </si>
  <si>
    <t>3 tours</t>
  </si>
  <si>
    <t>Junior</t>
  </si>
  <si>
    <t>Nationale_3Junior</t>
  </si>
  <si>
    <t>*****</t>
  </si>
  <si>
    <t>4 tours</t>
  </si>
  <si>
    <t>Senior</t>
  </si>
  <si>
    <t>Nationale_3Senior</t>
  </si>
  <si>
    <t>5 tours</t>
  </si>
  <si>
    <t>Masculin Benjamin</t>
  </si>
  <si>
    <t>Nationale_3Masculin Poussin</t>
  </si>
  <si>
    <t>Masculin Minime</t>
  </si>
  <si>
    <t>Masculin Poussin</t>
  </si>
  <si>
    <t>Nationale_3Masculin Benjamin</t>
  </si>
  <si>
    <t>Masculin Cadet</t>
  </si>
  <si>
    <t>Nationale_3Masculin Minime</t>
  </si>
  <si>
    <t>Masculin Junior</t>
  </si>
  <si>
    <t>Nationale_3Masculin Cadet</t>
  </si>
  <si>
    <t>En même temps que petit jeté</t>
  </si>
  <si>
    <t>En même temps que saut groupé</t>
  </si>
  <si>
    <t>Masculin Senior</t>
  </si>
  <si>
    <t>Nationale_3Masculin Junior</t>
  </si>
  <si>
    <t>Nationale_3Masculin Senior</t>
  </si>
  <si>
    <t>Extérieur MG</t>
  </si>
  <si>
    <t>1/2 ciseau + battement en sautant</t>
  </si>
  <si>
    <t>1/2 tour</t>
  </si>
  <si>
    <t>Intérieur MG ou MD</t>
  </si>
  <si>
    <t>5</t>
  </si>
  <si>
    <t>PD</t>
  </si>
  <si>
    <t>Rondade</t>
  </si>
  <si>
    <t>Cambré</t>
  </si>
  <si>
    <t>Costal</t>
  </si>
  <si>
    <t>Saut de main</t>
  </si>
  <si>
    <t>Déboulé  + grand jeté jambe arrière pliée en tournant</t>
  </si>
  <si>
    <t>Déboulé + saut double RJ en tournant</t>
  </si>
  <si>
    <t>Flip arrière</t>
  </si>
  <si>
    <t>Glissade au sol sur les genoux</t>
  </si>
  <si>
    <t>Glissade jambe croisée tendue</t>
  </si>
  <si>
    <t xml:space="preserve">Remonter en souplesse arrière départ au sol  </t>
  </si>
  <si>
    <t xml:space="preserve">Grand battement 1 T 1/2 devt et côté avec maintien  </t>
  </si>
  <si>
    <t>Grand écart latéral</t>
  </si>
  <si>
    <t>Salto Facial</t>
  </si>
  <si>
    <t>Grand jeté</t>
  </si>
  <si>
    <t>Grand jeté facial</t>
  </si>
  <si>
    <t>Virgule (départ debout)</t>
  </si>
  <si>
    <t>MSPD</t>
  </si>
  <si>
    <t>Salto arrière tendu</t>
  </si>
  <si>
    <t>Grand jeté pied tête</t>
  </si>
  <si>
    <t>Saut groupé</t>
  </si>
  <si>
    <t>Jeté jazz avec jambes pliées</t>
  </si>
  <si>
    <t>Pas de bourrée</t>
  </si>
  <si>
    <t>Passage au sol</t>
  </si>
  <si>
    <t>Saut de chat</t>
  </si>
  <si>
    <t>Petit jeté</t>
  </si>
  <si>
    <t>Pied tête</t>
  </si>
  <si>
    <t>Pied tête avec maintien</t>
  </si>
  <si>
    <t>Pose jambe devant ou côté ou derrière en dessous de l'horizontale</t>
  </si>
  <si>
    <t>Roulade avant / arrière et dérivés</t>
  </si>
  <si>
    <t>Roulade costale</t>
  </si>
  <si>
    <t>Roulade sol éventail</t>
  </si>
  <si>
    <t>Saut carpé</t>
  </si>
  <si>
    <t>Saut de biche</t>
  </si>
  <si>
    <t>Sissone en tournant changement de jambe</t>
  </si>
  <si>
    <t>Sissonne en déplacement</t>
  </si>
  <si>
    <t>Tour déboulé sauté</t>
  </si>
  <si>
    <t>DSP</t>
  </si>
  <si>
    <t>P</t>
  </si>
  <si>
    <t>Cumul engagement</t>
  </si>
  <si>
    <t>VERTICAL (présence d'au moins 1 lancé flippé vertical)</t>
  </si>
  <si>
    <t>TOTAL A</t>
  </si>
  <si>
    <t>TOTAL B</t>
  </si>
  <si>
    <t>Test respect du plafond</t>
  </si>
  <si>
    <t>Sous jambe (2 pieds au sol)</t>
  </si>
  <si>
    <t>Regroupement_engagement</t>
  </si>
  <si>
    <t>Regroupement_rattrapage</t>
  </si>
  <si>
    <t>HORIZONTAL (présence d'au moins 1 lancé à l'hor.)</t>
  </si>
  <si>
    <t>ROULERS</t>
  </si>
  <si>
    <t>VERTICAL_STANDARD_0</t>
  </si>
  <si>
    <t>Simple ext MD</t>
  </si>
  <si>
    <t>VERTICAL_STANDARD_1</t>
  </si>
  <si>
    <t xml:space="preserve">Ejection coude </t>
  </si>
  <si>
    <t>VERTICAL_CAT_1</t>
  </si>
  <si>
    <t>Boucle envers MD ou MG + lâcher</t>
  </si>
  <si>
    <t>Lâcher sous battement</t>
  </si>
  <si>
    <t>Lâcher sous bras</t>
  </si>
  <si>
    <t>VERTICAL_CAT_2</t>
  </si>
  <si>
    <t>HORIZONTAL_STANDARD_0</t>
  </si>
  <si>
    <t>HORIZONTAL_STANDARD_1</t>
  </si>
  <si>
    <t>HORIZONTAL_CAT_1</t>
  </si>
  <si>
    <t>HORIZONTAL_CAT_2</t>
  </si>
  <si>
    <t>HORIZONTAL_CAT_3</t>
  </si>
  <si>
    <t>Rouler poignet + lâcher MD (bâton 3/4)</t>
  </si>
  <si>
    <t>Rattr_valeur_V</t>
  </si>
  <si>
    <t>Rattr_valeur_H</t>
  </si>
  <si>
    <t>RATTR_STANDARD_0</t>
  </si>
  <si>
    <t>Main droite</t>
  </si>
  <si>
    <t>RATTR_STANDARD_1</t>
  </si>
  <si>
    <t xml:space="preserve">Main Gauche </t>
  </si>
  <si>
    <t>RATTR_CAT1</t>
  </si>
  <si>
    <t xml:space="preserve">Dos MG </t>
  </si>
  <si>
    <t xml:space="preserve">Main retournée </t>
  </si>
  <si>
    <t xml:space="preserve">Nuque MG </t>
  </si>
  <si>
    <t xml:space="preserve">Sous jambe D ou G </t>
  </si>
  <si>
    <t>RATTR_CAT2</t>
  </si>
  <si>
    <t xml:space="preserve">Main retournée + illusion </t>
  </si>
  <si>
    <t xml:space="preserve">Main retournée avec rotation inversée </t>
  </si>
  <si>
    <t xml:space="preserve">Nuque MD </t>
  </si>
  <si>
    <t xml:space="preserve">Sous battement MD ou MG </t>
  </si>
  <si>
    <t>RATTR_CAT3_A</t>
  </si>
  <si>
    <t>Aveugle MG ou MD</t>
  </si>
  <si>
    <t>RATTR_CAT3_B</t>
  </si>
  <si>
    <t>Dans illusion endroit</t>
  </si>
  <si>
    <t>Dans illusion MG</t>
  </si>
  <si>
    <t>MD ou MG sous rond de jambe</t>
  </si>
  <si>
    <t>Sous battement Main retournée</t>
  </si>
  <si>
    <t>RATTR_CAT3_C</t>
  </si>
  <si>
    <t>Dans sauts main retournée</t>
  </si>
  <si>
    <t>MR dans le rond de jambe droite</t>
  </si>
  <si>
    <t>Sous jambe MR en mouvement</t>
  </si>
  <si>
    <t>RATTR_CAT4_A</t>
  </si>
  <si>
    <t>Dans illusion main retournée</t>
  </si>
  <si>
    <t>SD</t>
  </si>
  <si>
    <t>RATTR_CAT4_B</t>
  </si>
  <si>
    <t>Dans le grand jeté latéral</t>
  </si>
  <si>
    <t>Intérieur bras</t>
  </si>
  <si>
    <t>MG nuque de face (Jason Travers)</t>
  </si>
  <si>
    <t>RATTR_CAT5_A</t>
  </si>
  <si>
    <t>Dans costal</t>
  </si>
  <si>
    <t>Dans jeté facial</t>
  </si>
  <si>
    <t>Dans la souplesse MR et ses dérivés</t>
  </si>
  <si>
    <t>Intérieur bras aller/retour</t>
  </si>
  <si>
    <t>RATTR_CAT5_B</t>
  </si>
  <si>
    <t>Pose "piqué"</t>
  </si>
  <si>
    <t>Descente sur les 2 genoux : un genou après l'autre.</t>
  </si>
  <si>
    <t>Grand battement Devant/côté</t>
  </si>
  <si>
    <t>Attitude</t>
  </si>
  <si>
    <t>Arabesque</t>
  </si>
  <si>
    <t xml:space="preserve">Rond de jambe  </t>
  </si>
  <si>
    <t>Attitude en sautant</t>
  </si>
  <si>
    <t>Arabesque en sautant</t>
  </si>
  <si>
    <t>Grand battement devant ou côté (Y) avec maintien</t>
  </si>
  <si>
    <t>N/A</t>
  </si>
  <si>
    <t>1 tour sur les genoux</t>
  </si>
  <si>
    <t>1 tour sur les genoux (déboulé à genoux)</t>
  </si>
  <si>
    <t xml:space="preserve">1 tour en l'air       </t>
  </si>
  <si>
    <t>Pivot avec mobilisation d'un membre inférieur avec jambe dessous de l'horizontal avec repère visuel</t>
  </si>
  <si>
    <t>Axel 1,5 tours  en l'air appel sur 1 pied, atterissage sur l'autre</t>
  </si>
  <si>
    <t>Axel 1,5 tours en l'air  arrivée au sol directe sans appui</t>
  </si>
  <si>
    <t>Attitude 
en tournant</t>
  </si>
  <si>
    <t>Pivot en Grand battement devant ou côté avec maintien</t>
  </si>
  <si>
    <t>Penché ( I ) sans l'aide des mains</t>
  </si>
  <si>
    <t>Illusion endroit ou envers</t>
  </si>
  <si>
    <t>Descente 1/2 écart sur place, jambe derrière pliée, bassin relevé</t>
  </si>
  <si>
    <t>Roulade au sol sur soi même jambes tendues ou sur pointes</t>
  </si>
  <si>
    <t>Glissade en déplacement, jambe derrière pliée, bassin relevé</t>
  </si>
  <si>
    <t>Grand écart facial</t>
  </si>
  <si>
    <t>Descente en grand écart,  écart  + changement de jambe+ autre grd écart</t>
  </si>
  <si>
    <t>Onde complète sur coup de pied  en partant du sol et remontant sur pointes ( Dubois) ou contraire / pieds joints</t>
  </si>
  <si>
    <t>Roulade poisson départ debout ou au sol</t>
  </si>
  <si>
    <t>1/2 T + Glissade en grand écart latéral avec perte de repère visuel</t>
  </si>
  <si>
    <t>Debuter debout, flexion dorsale du buste sur les avant bras, jambes tendues en écart</t>
  </si>
  <si>
    <t>Debuter debout, flexion dorsale du buste sur les avant bras, jambes tendues en écart + pied tête</t>
  </si>
  <si>
    <t>Roulade avant sur une épaule départ au sol avec passage à la verticale ("crevette")</t>
  </si>
  <si>
    <t>Marche sur 1/2 pointe (minimum 4)</t>
  </si>
  <si>
    <t>Course talon aux fesses (minimum 2)</t>
  </si>
  <si>
    <t>Pas chassés (minimum 2)</t>
  </si>
  <si>
    <t>Ciseaux avant ou arrière</t>
  </si>
  <si>
    <t>Saut de biche avec Cambré</t>
  </si>
  <si>
    <t>Saut cosaque</t>
  </si>
  <si>
    <t>Saut Pied tête jambe pliée ou tendue</t>
  </si>
  <si>
    <t xml:space="preserve">1/2 ciseau + rond de jambe en tournant           </t>
  </si>
  <si>
    <t>Grand jeté latéral avec corps cambré (tête à la jambe arrière)</t>
  </si>
  <si>
    <t>Roue et
 tous ses dérivés</t>
  </si>
  <si>
    <t>Souplesse avant et ses dérivés</t>
  </si>
  <si>
    <t>Souplesse arrière
avec changement de jambes et ses dérivés</t>
  </si>
  <si>
    <t>Ralenkova</t>
  </si>
  <si>
    <t>Roulers_V</t>
  </si>
  <si>
    <t>Roulers_H</t>
  </si>
  <si>
    <t>RV_N1</t>
  </si>
  <si>
    <t>RV_N2</t>
  </si>
  <si>
    <t>RV_N3</t>
  </si>
  <si>
    <t>RH_N1</t>
  </si>
  <si>
    <t>RH_N2</t>
  </si>
  <si>
    <t>RH_N3</t>
  </si>
  <si>
    <t>Roulers_obligatoire</t>
  </si>
  <si>
    <t>5 roulers: 3 vert. Connectés et 2 horiz. connectés</t>
  </si>
  <si>
    <t xml:space="preserve">4 roulers: 3 vert. et 1 horiz. </t>
  </si>
  <si>
    <t xml:space="preserve">3 roulers: 2 vert. et 1 horiz. </t>
  </si>
  <si>
    <t>R vertical 1 :</t>
  </si>
  <si>
    <t>R vertical 2 :</t>
  </si>
  <si>
    <t>Coude coude + ouverture latérale</t>
  </si>
  <si>
    <t xml:space="preserve">Intérieur bras </t>
  </si>
  <si>
    <t>1/2 Hollie</t>
  </si>
  <si>
    <t>Brown</t>
  </si>
  <si>
    <t>RV_VALEUR_N1</t>
  </si>
  <si>
    <t>RH_VALEUR_N1</t>
  </si>
  <si>
    <t>Coliaux</t>
  </si>
  <si>
    <t>RV_VALEUR_N2</t>
  </si>
  <si>
    <t>RH_VALEUR_N2</t>
  </si>
  <si>
    <t>RH_VALEUR_N3</t>
  </si>
  <si>
    <t>RV_VALEUR_N3</t>
  </si>
  <si>
    <t>Frontal sur autre bras</t>
  </si>
  <si>
    <t>Frontal sur même bras</t>
  </si>
  <si>
    <t>Latéral sur bras ouvert + éjection</t>
  </si>
  <si>
    <t>1/2 intérieur bras</t>
  </si>
  <si>
    <t>Coude coude</t>
  </si>
  <si>
    <t>Ouverture latérale</t>
  </si>
  <si>
    <t>Bloqué nuque D ou G</t>
  </si>
  <si>
    <t>Double Coliaux</t>
  </si>
  <si>
    <t>Intérieur bras frontal</t>
  </si>
  <si>
    <t>Hollie</t>
  </si>
  <si>
    <t>Hollie éjecté</t>
  </si>
  <si>
    <t>Fujimi avec 1 bras ouvert</t>
  </si>
  <si>
    <t>Changement de main</t>
  </si>
  <si>
    <t>Changement de bras</t>
  </si>
  <si>
    <t>Latéral sur bras ouvert</t>
  </si>
  <si>
    <t>Elements_valeurs_N3</t>
  </si>
  <si>
    <t>Elements_valeurs_N2</t>
  </si>
  <si>
    <t>Elements_valeurs_N1</t>
  </si>
  <si>
    <t>Arabesque en tournant</t>
  </si>
  <si>
    <t>½ Fig 8 end / env</t>
  </si>
  <si>
    <t>Cercle frontal end / env</t>
  </si>
  <si>
    <t>Fig 8 end / env</t>
  </si>
  <si>
    <t>Cercle + boucle end / env</t>
  </si>
  <si>
    <t>Flip H int/ext</t>
  </si>
  <si>
    <t>USA profil / face</t>
  </si>
  <si>
    <t>Flip taille frontal</t>
  </si>
  <si>
    <t>Flip aveugle même main</t>
  </si>
  <si>
    <t>MG_VALEUR_N3</t>
  </si>
  <si>
    <t>Seishi</t>
  </si>
  <si>
    <t>Flip H aveugle même main</t>
  </si>
  <si>
    <t>MG_VALEUR_N2</t>
  </si>
  <si>
    <t>MG_VALEUR_N1</t>
  </si>
  <si>
    <t>MANIEMENT GENERAL</t>
  </si>
  <si>
    <t>MG_obligatoire</t>
  </si>
  <si>
    <t>NB_R_obligatoire</t>
  </si>
  <si>
    <t>TOTAL POINT REA</t>
  </si>
  <si>
    <t>TOTAL POINT BONUS</t>
  </si>
  <si>
    <t>-50
%</t>
  </si>
  <si>
    <t>4 Fautes</t>
  </si>
  <si>
    <t>5 Fautes et +</t>
  </si>
  <si>
    <t>-3</t>
  </si>
  <si>
    <t>Chuté &amp; 1 élément NR</t>
  </si>
  <si>
    <t>Chuté + 4 F
Chuté B + C</t>
  </si>
  <si>
    <t>PVT 1P</t>
  </si>
  <si>
    <t>CGS</t>
  </si>
  <si>
    <t>AMP</t>
  </si>
  <si>
    <t>FLUIDIT</t>
  </si>
  <si>
    <t>ILL S/ 1P</t>
  </si>
  <si>
    <t>TIMING</t>
  </si>
  <si>
    <t>REECM</t>
  </si>
  <si>
    <t>BONUS</t>
  </si>
  <si>
    <t>MG vertical 1 :</t>
  </si>
  <si>
    <t>MG horizontal 1 :</t>
  </si>
  <si>
    <t>MGV_N3</t>
  </si>
  <si>
    <t>MGH_N3</t>
  </si>
  <si>
    <t>MGV_N1</t>
  </si>
  <si>
    <t>MGH_N1</t>
  </si>
  <si>
    <t>MGV_N2</t>
  </si>
  <si>
    <t>MGH_N2</t>
  </si>
  <si>
    <t xml:space="preserve">4 maniements: 3 vert. et 1 horiz. </t>
  </si>
  <si>
    <t xml:space="preserve">3 maniements: 2 vert. et 1 horiz. </t>
  </si>
  <si>
    <t>Maniement_V</t>
  </si>
  <si>
    <t>Maniement_H</t>
  </si>
  <si>
    <t>Flash back</t>
  </si>
  <si>
    <t>Flip/lâcher SD</t>
  </si>
  <si>
    <t>Pretzel lâcher ss bras + frappé</t>
  </si>
  <si>
    <t>Pretzel lâcher H cou ratt bras tendu</t>
  </si>
  <si>
    <t>Pretzel lâcher H taille / genoux</t>
  </si>
  <si>
    <t>Flip int latéral GD ou DG au-dessus de la tête</t>
  </si>
  <si>
    <t>Pretzel lâcher Claveau (épaule opposée)</t>
  </si>
  <si>
    <t>Pretzel lâcher cou ratt bras tendu</t>
  </si>
  <si>
    <t>Pretzel lâcher cou ratt même main</t>
  </si>
  <si>
    <t>Pretzel lâcher épaule + cercle (Canada)</t>
  </si>
  <si>
    <t>Pretzel lâcher épaule MR</t>
  </si>
  <si>
    <t>Pretzel lâcher H cou ratt ss batt MR</t>
  </si>
  <si>
    <t>Pretzel lâcher libre dos (bras tendus alignés)</t>
  </si>
  <si>
    <t>Boucle end /env</t>
  </si>
  <si>
    <t>Rouler des épaules</t>
  </si>
  <si>
    <t>Hollie en tournant</t>
  </si>
  <si>
    <t>1/2 Singer D ou G</t>
  </si>
  <si>
    <t>Guillotine</t>
  </si>
  <si>
    <t>Neck Roll + Carry D ou G (2t+)</t>
  </si>
  <si>
    <t>Singer DG avec passage dans le dos</t>
  </si>
  <si>
    <t>Singer DG ou GD</t>
  </si>
  <si>
    <t>Singer Hula hoop D ou G</t>
  </si>
  <si>
    <t xml:space="preserve">1/2 ou éjection passage dos </t>
  </si>
  <si>
    <t>Double Hollie</t>
  </si>
  <si>
    <t>Hollie + bloqué cou + éjection</t>
  </si>
  <si>
    <t>Hollie avec changement de direction</t>
  </si>
  <si>
    <t>Hollie avec passage sous épaule</t>
  </si>
  <si>
    <t>Hollie sur la tête</t>
  </si>
  <si>
    <t>Hollie sur la tête + combinaison</t>
  </si>
  <si>
    <t>Interieur bras aller/ retour</t>
  </si>
  <si>
    <t>Intérieur bras éjection + intérieur même bras</t>
  </si>
  <si>
    <t>Jason éjection</t>
  </si>
  <si>
    <t>Passage dos env</t>
  </si>
  <si>
    <t>Glissade arrière, allongé sur le sol à plat ventre, en déplacement</t>
  </si>
  <si>
    <t>VALEUR BRUTE FINALE DES ROULERS</t>
  </si>
  <si>
    <t>Lâcher autour de la jambe pendant grand jeté + lancer</t>
  </si>
  <si>
    <t>Maniement général avec repère visuel + Lancer ou Lâcher direct (Claveau, Lâcher épaule + cercle)</t>
  </si>
  <si>
    <t>Rouler avec repère visuel + lâcher ou lancer (rouler envers sur le bras droit + bloqué, fish endroit, rouler épaules SD, Rouler MD sur bras + Coliaux)</t>
  </si>
  <si>
    <t>Sous jambe MR en rotation inverse</t>
  </si>
  <si>
    <t>Dans roue MR</t>
  </si>
  <si>
    <t>MG dans salto arrivée sol</t>
  </si>
  <si>
    <t>x</t>
  </si>
  <si>
    <t xml:space="preserve"> </t>
  </si>
  <si>
    <t>H Main gauche</t>
  </si>
  <si>
    <t>H Main droite endroit ou envers</t>
  </si>
  <si>
    <t>Lâcher autour de la jambe pendant grand jeté + Lancer</t>
  </si>
  <si>
    <t>MD Sous rond de jambe droite ou gauche</t>
  </si>
  <si>
    <t>H Lâcher sur le dos de la MD en engagement de la MG dans le dos</t>
  </si>
  <si>
    <t>H En même temps que petit jeté</t>
  </si>
  <si>
    <t>Extérieur MD</t>
  </si>
  <si>
    <t>Dans le cou D ou G main retournée</t>
  </si>
  <si>
    <t>Ejection coude (ratt MD)</t>
  </si>
  <si>
    <t>Bloqué coude</t>
  </si>
  <si>
    <t xml:space="preserve">Sous jambe pliée Main retournée </t>
  </si>
  <si>
    <t>Dans sauts MD ou MG (cosaques, 1/2 ciseaux + Battement…)</t>
  </si>
  <si>
    <t>En extension dorsale au sol bras tendu (catherine) ou en grand écart</t>
  </si>
  <si>
    <t>Dans roue et ses dérivées</t>
  </si>
  <si>
    <t>MD ou MG dans "i" penché</t>
  </si>
  <si>
    <t>Dans illusion non vertical arrivée au sol</t>
  </si>
  <si>
    <t>Dans fermeture complète</t>
  </si>
  <si>
    <t>1/2 intérieur bras + SD</t>
  </si>
  <si>
    <t>Pendant éléments majeurs au sol (poisson, virgule…) passage par chandelle</t>
  </si>
  <si>
    <t>Dans la roue avec changement de jambes et ses dérivées</t>
  </si>
  <si>
    <t>Rattrapage en Cambré</t>
  </si>
  <si>
    <t>Dans souplesse et ses dérivées</t>
  </si>
  <si>
    <t>Dans éléments majeurs au sol (poisson, virgule…) entre les jambes</t>
  </si>
  <si>
    <t>Dans la souplesse avec changement de jambe et ses dérivées</t>
  </si>
  <si>
    <t>Entre les jambes pendant une souplesse arrière ou rouler sur poitrine</t>
  </si>
  <si>
    <t>H Rouler avec repère visuel + lâcher ou Lancer (fish, rouler bras gauche + bloqué, singer + éjection directe, Hollie rattrapage aveugle MG…)</t>
  </si>
  <si>
    <t>H en même temps que petit jeté</t>
  </si>
  <si>
    <t>H Maniement général avec repère visuel + Lancer ou lâcher direct (lâcher sous rond de jambe, lâcher MD à MG sous rond de jambe,…)</t>
  </si>
  <si>
    <t>Sous battement MR en rotation inversée</t>
  </si>
  <si>
    <t>Pose 4ème relevée "Lancer simple"</t>
  </si>
  <si>
    <t>Onde complète sur coup de pied cambré (57)</t>
  </si>
  <si>
    <t>Souplesse changement de jambe et ses dérivés</t>
  </si>
  <si>
    <t>Souplesse arrière et ses dérivés</t>
  </si>
  <si>
    <t>Frontal engt int/ext sur poignet</t>
  </si>
  <si>
    <t>Frontal engt int/ext sur bras</t>
  </si>
  <si>
    <t>Frontal engt int/ext sur coude</t>
  </si>
  <si>
    <t>Changement de poignet</t>
  </si>
  <si>
    <t>H Frontal ext/int sur main/poignet</t>
  </si>
  <si>
    <t>Chg de mains enchainés (2 ou +)</t>
  </si>
  <si>
    <t>Chg de poignets enchainés (2 ou +)</t>
  </si>
  <si>
    <t>Fig 8 sur poignet end/env (4)</t>
  </si>
  <si>
    <t>Nuque</t>
  </si>
  <si>
    <t>Educatif Neck Roll</t>
  </si>
  <si>
    <t>Ejection end</t>
  </si>
  <si>
    <t>Fish end</t>
  </si>
  <si>
    <t>Frontal sur autre bras + chg de bras</t>
  </si>
  <si>
    <t xml:space="preserve">Bascule </t>
  </si>
  <si>
    <t>Ejection env</t>
  </si>
  <si>
    <t>1/2 éjections (2 ou +)</t>
  </si>
  <si>
    <t>Fig. 8 sur poignet end bloqué</t>
  </si>
  <si>
    <t>Fish end (1/2T)</t>
  </si>
  <si>
    <t>Rouler autour de la jambe</t>
  </si>
  <si>
    <t>Fish env</t>
  </si>
  <si>
    <t xml:space="preserve">Coude coude bloqué </t>
  </si>
  <si>
    <t>Bascules (2 ou +)</t>
  </si>
  <si>
    <t>Rouler sur épaule</t>
  </si>
  <si>
    <t>Bloqués nuque GD ou DG</t>
  </si>
  <si>
    <t>Educatif 1/2 Carry</t>
  </si>
  <si>
    <t>Ejections end même bras (2 ou +)</t>
  </si>
  <si>
    <t>Ejections end GD ou DG</t>
  </si>
  <si>
    <t>Rouler tête</t>
  </si>
  <si>
    <t>Rouler poignet éjection</t>
  </si>
  <si>
    <t>Fish env (1/2T)</t>
  </si>
  <si>
    <t>Fish end en tournant</t>
  </si>
  <si>
    <t>Frontal engt ext/ int sur bras + int bras</t>
  </si>
  <si>
    <t>Coude coude enchainés  (1 2 3 4)</t>
  </si>
  <si>
    <t>1/2 Fujimi end</t>
  </si>
  <si>
    <t>Educatif bloqué aisselle</t>
  </si>
  <si>
    <t>Neck Roll (1 2 3)</t>
  </si>
  <si>
    <t>Educatif libre cou</t>
  </si>
  <si>
    <t>1/2 éjections (4 ou +)</t>
  </si>
  <si>
    <t>Ejections env DG ou GD</t>
  </si>
  <si>
    <t>Fish env en tournant</t>
  </si>
  <si>
    <t>Int bras + éjection</t>
  </si>
  <si>
    <t>Coude coude bloqués  (2 ou +)</t>
  </si>
  <si>
    <t>Fish + 1/2 Fujimi end (ou inverse)</t>
  </si>
  <si>
    <t>1/2 Fujimi env</t>
  </si>
  <si>
    <t>Bascules  (4 ou +)</t>
  </si>
  <si>
    <t>Coude coude + rouler des épaules</t>
  </si>
  <si>
    <t>1/2 Lucero (end/env)</t>
  </si>
  <si>
    <t>Rouler autour de la jambe + bloqué</t>
  </si>
  <si>
    <t>_ _ _ _</t>
  </si>
  <si>
    <t>H Rouler autour du pouce</t>
  </si>
  <si>
    <t>H Rouler main ext/ int devant la taille</t>
  </si>
  <si>
    <t>H Latéral sur bras ouvert</t>
  </si>
  <si>
    <t>H Nuque</t>
  </si>
  <si>
    <t>H Rouler main ext/int au dessus de la tête</t>
  </si>
  <si>
    <t>H Chg de main en tournant</t>
  </si>
  <si>
    <t>H Frontal sur autre bras</t>
  </si>
  <si>
    <t>H Bloqué cou D ou G</t>
  </si>
  <si>
    <t>H 1/2 Intérieur bras</t>
  </si>
  <si>
    <t>H Frontal sur même bras</t>
  </si>
  <si>
    <t>H Bloqué nuque D ou G</t>
  </si>
  <si>
    <t>H Educatif 1/2 Carry</t>
  </si>
  <si>
    <t>H Bloqués cou DG ou GD</t>
  </si>
  <si>
    <t>H Bloqués nuque DG ou GD</t>
  </si>
  <si>
    <t>H Ejection</t>
  </si>
  <si>
    <t>H Neck Roll (1 2 3)</t>
  </si>
  <si>
    <t>H Carry</t>
  </si>
  <si>
    <t>H Educatif singer</t>
  </si>
  <si>
    <t>H Intérieur bras</t>
  </si>
  <si>
    <t>H Coude coude en tournant</t>
  </si>
  <si>
    <t>H Rouler sur épaule</t>
  </si>
  <si>
    <t>H Educatif libre cou</t>
  </si>
  <si>
    <t>H Ejections même bras (2 ou +)</t>
  </si>
  <si>
    <t>Mouvement H</t>
  </si>
  <si>
    <t>Fig 8 H</t>
  </si>
  <si>
    <t>Cercle + boucle H</t>
  </si>
  <si>
    <t>Flip H int/ext frappé</t>
  </si>
  <si>
    <t>Lâcher H ss batt plié au sol</t>
  </si>
  <si>
    <t>Flip/Lâcher H ratt A</t>
  </si>
  <si>
    <t>Flip/Lâcher H MD ratt MG par-dessus retournée</t>
  </si>
  <si>
    <t>Pretzel lâcher H dans batt latéral</t>
  </si>
  <si>
    <t>Flip/Lâcher H ratt B</t>
  </si>
  <si>
    <t>Flip H int/ext frappé ratt A</t>
  </si>
  <si>
    <t>Lâcher H libre dos</t>
  </si>
  <si>
    <t>Lâcher H13 ratt A</t>
  </si>
  <si>
    <t>Pretzel lâcher H dans Y</t>
  </si>
  <si>
    <t>Flip int/ext</t>
  </si>
  <si>
    <t>Ench pretzel 1er degré</t>
  </si>
  <si>
    <t>Flip ext + frappé</t>
  </si>
  <si>
    <t>Cercle + rouler poignet</t>
  </si>
  <si>
    <t>Pretzel lâcher cou</t>
  </si>
  <si>
    <t>Flip/Lâcher ratt A</t>
  </si>
  <si>
    <t>Pretzel lâcher sous bras</t>
  </si>
  <si>
    <t>Flip/Lâcher ratt B</t>
  </si>
  <si>
    <t>Flip ext + frappé ratt A</t>
  </si>
  <si>
    <t>USA ratt A</t>
  </si>
  <si>
    <t>Cercle +  rouler éjection poignet</t>
  </si>
  <si>
    <t>Flip/Lâcher ratt C1</t>
  </si>
  <si>
    <t>Flip ext + frappé ratt B</t>
  </si>
  <si>
    <t>Flip/Lâcher int dos ratt A</t>
  </si>
  <si>
    <t xml:space="preserve">Flip aveugle </t>
  </si>
  <si>
    <t xml:space="preserve">Flip ss RJ </t>
  </si>
  <si>
    <t xml:space="preserve">Rouler frontal env sur même bras + SD </t>
  </si>
  <si>
    <t>Pretzel lâcher épaule MR pdt élément majeur</t>
  </si>
  <si>
    <t>Pretzel lâcher ss bras ratt A</t>
  </si>
  <si>
    <t>Flip ext + frappé ratt C1</t>
  </si>
  <si>
    <t>Flip/Lâcher int dos ratt B</t>
  </si>
  <si>
    <t>Flip av + frappé</t>
  </si>
  <si>
    <t>Flip taille frontal ratt A</t>
  </si>
  <si>
    <t>Flip taille ss bras</t>
  </si>
  <si>
    <t>Flip ss RJ ratt A</t>
  </si>
  <si>
    <t>Pretzel lâcher ss bras ratt B</t>
  </si>
  <si>
    <t>Pretzel lâcher ss bras + 1T/Déb</t>
  </si>
  <si>
    <t xml:space="preserve">Educatif 1/2 Carry </t>
  </si>
  <si>
    <t xml:space="preserve">H Ejection </t>
  </si>
  <si>
    <t>Coude coude enchainés (1 2 3 4)</t>
  </si>
  <si>
    <t>Neck Roll (1 2 3 )</t>
  </si>
  <si>
    <t>H Educatif Singer</t>
  </si>
  <si>
    <t>Coude coude bloqués (2 ou +)</t>
  </si>
  <si>
    <t>Bascules (4 ou +)</t>
  </si>
  <si>
    <t>Carry</t>
  </si>
  <si>
    <t>Coude coude enchainés (6 ou +)</t>
  </si>
  <si>
    <t>Fujimi end</t>
  </si>
  <si>
    <t>Fish + 1/2 Fujimi env (ou inverse)</t>
  </si>
  <si>
    <t xml:space="preserve">Neck Roll entier (1 2 3 4) </t>
  </si>
  <si>
    <t>Ejections env même bras (2 ou +)</t>
  </si>
  <si>
    <t>Ejection genou</t>
  </si>
  <si>
    <t>H Fish end</t>
  </si>
  <si>
    <t>H Coude coude en tournant (2 ou +)</t>
  </si>
  <si>
    <t xml:space="preserve">H Neck Roll entier (1 2 3 4) </t>
  </si>
  <si>
    <t>H Neck Roll + passage au sol</t>
  </si>
  <si>
    <t>H Hollie</t>
  </si>
  <si>
    <t>Fish en tournant 1T et demi ou +</t>
  </si>
  <si>
    <t>Fujimi end enchainés (3 ou +)</t>
  </si>
  <si>
    <t>Coude coude + rouler des épaules + coude coude ouverture latérale</t>
  </si>
  <si>
    <t>Ejections end GDG</t>
  </si>
  <si>
    <t>H Rouler des épaules</t>
  </si>
  <si>
    <t>H Neck Roll entier + bloqués x2</t>
  </si>
  <si>
    <t>H Neck Roll env (1 2 3)</t>
  </si>
  <si>
    <t>Fish frontal en tournant (2T ou +)</t>
  </si>
  <si>
    <t>Fujimi env</t>
  </si>
  <si>
    <t>1/2 Fujimi end en tournant</t>
  </si>
  <si>
    <t>Neck Roll entier (2 ou +)</t>
  </si>
  <si>
    <t>Libre cou entier (1 2 3 4)</t>
  </si>
  <si>
    <t xml:space="preserve">Carry avec engt rouler cou et sortie </t>
  </si>
  <si>
    <t xml:space="preserve">Flip ou éjection ratt cou </t>
  </si>
  <si>
    <t>Ejections env DGD</t>
  </si>
  <si>
    <t>H Bloqué + rouler autour du cou</t>
  </si>
  <si>
    <t>H Neck Roll entier enchainés (2 ou +)</t>
  </si>
  <si>
    <t>H Neck Roll au sol jambes tendues</t>
  </si>
  <si>
    <t>H Neck Roll env entier (1 2 3 4)</t>
  </si>
  <si>
    <t>H Ejections même bras  (4 ou +)</t>
  </si>
  <si>
    <t>1T intérieur du bras</t>
  </si>
  <si>
    <t>Double 1/2 Fujimi end</t>
  </si>
  <si>
    <t>Passage dos end</t>
  </si>
  <si>
    <t>Ejections en tournant (3 éjections)</t>
  </si>
  <si>
    <t>Ejections chg bras (4 ou +)</t>
  </si>
  <si>
    <t>H Fish env</t>
  </si>
  <si>
    <t>H Coliaux</t>
  </si>
  <si>
    <t>H Libre cou (1 2 3)</t>
  </si>
  <si>
    <t>H Neck Roll env entier + bloqués x2</t>
  </si>
  <si>
    <t>H Neck Roll + Carry D ou G</t>
  </si>
  <si>
    <t>Brown (2 ou +)</t>
  </si>
  <si>
    <t>H Hollie en tournant</t>
  </si>
  <si>
    <t>H Ejections GDG</t>
  </si>
  <si>
    <t>Flip/Lâcher ratt C2</t>
  </si>
  <si>
    <t xml:space="preserve">Engt B + 1T/Déb </t>
  </si>
  <si>
    <t>Flip/Lâcher 1T/Déb ratt A</t>
  </si>
  <si>
    <t>Flip av + frappé ratt A</t>
  </si>
  <si>
    <t>Flip/Lâcher av + frappé + 1/2T</t>
  </si>
  <si>
    <t>Flip/Lâcher av même main + frappé</t>
  </si>
  <si>
    <t>USA ratt B</t>
  </si>
  <si>
    <t>Flip ss RJ ratt B</t>
  </si>
  <si>
    <t>Pretzel lâcher ss bras ratt C1</t>
  </si>
  <si>
    <t>Pretzel lâcher ss bras + frappé ratt B</t>
  </si>
  <si>
    <t xml:space="preserve">Pretzel lâcher ss bras + frappé + 1T/Déb </t>
  </si>
  <si>
    <t>Flip/Lâcher H ratt C1</t>
  </si>
  <si>
    <t>Flip H int/ext + frappé ratt B</t>
  </si>
  <si>
    <t>Flip/Lâcher H ss RJ</t>
  </si>
  <si>
    <t>Lâcher H ss bras</t>
  </si>
  <si>
    <t>Flip/Lâcher ratt C3</t>
  </si>
  <si>
    <t>Flip ext + frappé ratt C2</t>
  </si>
  <si>
    <t>Flip/Lâcher int dos ratt C1</t>
  </si>
  <si>
    <t>Flip av + frappé ratt B</t>
  </si>
  <si>
    <t>Flip/Lâcher av + frappé + 1/2T ratt A</t>
  </si>
  <si>
    <t>Flip/Lâcher av même main + frappé ratt A</t>
  </si>
  <si>
    <t>USA ratt C1</t>
  </si>
  <si>
    <t>Flip taille frontal ratt B</t>
  </si>
  <si>
    <t>Flip taille ss bras ratt A</t>
  </si>
  <si>
    <t>Flip ss RJ ratt C1</t>
  </si>
  <si>
    <t>Flip/Lâcher bras tendus</t>
  </si>
  <si>
    <t>Flash back ratt A</t>
  </si>
  <si>
    <t>Pretzel lâcher ss bras ratt C2</t>
  </si>
  <si>
    <t>Pretzel lâcher ss bras + frappé ratt C1</t>
  </si>
  <si>
    <t>Flip/Lâcher H ratt C2</t>
  </si>
  <si>
    <t>Flip H int/ext + frappé ratt C1</t>
  </si>
  <si>
    <t>Lâcher H libre dos ratt B</t>
  </si>
  <si>
    <t>Lâcher H13 ratt B</t>
  </si>
  <si>
    <t>Flip/Lâcher H ss RJ ratt A</t>
  </si>
  <si>
    <t>Pretzel lâcher H autour de la jambe pdt illusion</t>
  </si>
  <si>
    <t>Lâcher H ss bras ratt A</t>
  </si>
  <si>
    <t>Flip/Lâcher ratt D1</t>
  </si>
  <si>
    <t>Flip ext + frappé ratt C3</t>
  </si>
  <si>
    <t>Flip/Lâcher int dos ratt C2</t>
  </si>
  <si>
    <t>Engt C + 1T/Déb</t>
  </si>
  <si>
    <t>Flip/Lâcher 1T/Déb ratt B</t>
  </si>
  <si>
    <t>Flip av + frappé ratt C1</t>
  </si>
  <si>
    <t>Flip/Lâcher av + frappé + 1/2T ratt B</t>
  </si>
  <si>
    <t>Flip/Lâcher av même main + frappé ratt B</t>
  </si>
  <si>
    <t xml:space="preserve">Flip/Lâcher av même main + frappé + 1/2T </t>
  </si>
  <si>
    <t>USA ratt C2</t>
  </si>
  <si>
    <t>Flip taille frontal ratt C1</t>
  </si>
  <si>
    <t>Flip taille ss bras ratt B</t>
  </si>
  <si>
    <t>Flip ss RJ ratt C2</t>
  </si>
  <si>
    <t xml:space="preserve">Flip/Lâcher Fermeture </t>
  </si>
  <si>
    <t>Pretzel lâcher ss bras ratt C3</t>
  </si>
  <si>
    <t>Pretzel lâcher ss bras + frappé ratt C2</t>
  </si>
  <si>
    <t>Pretzel lâcher ss bras + 1T/Déb ratt A</t>
  </si>
  <si>
    <t>Flip/Lâcher H ratt C3</t>
  </si>
  <si>
    <t>Flip H int/ext + frappé ratt C2</t>
  </si>
  <si>
    <t>Flip/Lâcher H 1T/Déb ratt A</t>
  </si>
  <si>
    <t xml:space="preserve">Flip H aveugle </t>
  </si>
  <si>
    <t>Lâcher H ss bras ratt B</t>
  </si>
  <si>
    <t>Flip/Lâcher int dos ratt C3</t>
  </si>
  <si>
    <t>Flip/Lâcher int dos + 1T/Déb ratt A</t>
  </si>
  <si>
    <t>Flip av + frappé ratt C2</t>
  </si>
  <si>
    <t>lip/Lâcher av + frappé + 1/2T ratt C1</t>
  </si>
  <si>
    <t>Flip/Lâcher av même main + frappé ratt C1</t>
  </si>
  <si>
    <t>Flip/Lâcher av même main  + frappé + 1/2T ratt A</t>
  </si>
  <si>
    <t>USA ratt C3</t>
  </si>
  <si>
    <t>Flip taille frontal ratt C2</t>
  </si>
  <si>
    <t>Flip taille frontal + 1T/Déb</t>
  </si>
  <si>
    <t>Flip taille ss bras ratt C1</t>
  </si>
  <si>
    <t>Flip ss RJ ratt C3</t>
  </si>
  <si>
    <t>Flip ss RJ int + 1/4T ratt ss jambe MG au sol</t>
  </si>
  <si>
    <t>Flash back ratt B</t>
  </si>
  <si>
    <t>Pretzel lâcher cou + 1/2T à D ratt aveugle</t>
  </si>
  <si>
    <t>Pretzel lâcher ss bras + frappé ratt C3</t>
  </si>
  <si>
    <t>Flip H ext + 1/2T/Déb ratt MGR bras tendu</t>
  </si>
  <si>
    <t>Flip/Lâcher H 1T/Déb ratt B</t>
  </si>
  <si>
    <t>Flip/Lâcher H av + frappé</t>
  </si>
  <si>
    <t>Lâcher H libre dos ratt C1</t>
  </si>
  <si>
    <t>Lâcher H libre dos 1T/Déb ratt A</t>
  </si>
  <si>
    <t>Lâcher H13 ratt C1</t>
  </si>
  <si>
    <t>Flip/Lâcher H ss RJ ratt B</t>
  </si>
  <si>
    <t>Lambert (autre main)</t>
  </si>
  <si>
    <t xml:space="preserve"> H Flash back </t>
  </si>
  <si>
    <t>Pretzel lâcher H autour de la jambe pdt roue ou souplesse</t>
  </si>
  <si>
    <t>Lâcher H ss bras ratt C1</t>
  </si>
  <si>
    <t>Flip/Lâcher ratt D2</t>
  </si>
  <si>
    <t>Flip ext + frappé ratt D1</t>
  </si>
  <si>
    <t>Engt D + 1T/Déb</t>
  </si>
  <si>
    <t>Flip/Lâcher 1T/Déb ratt C1</t>
  </si>
  <si>
    <t>Flip/Lâcher av + frappé + 1/2T  ratt C2</t>
  </si>
  <si>
    <t>Flip aveugle ds le Y</t>
  </si>
  <si>
    <t>Flip/Lâcher av même main + frappé ratt C2</t>
  </si>
  <si>
    <t>Flip/Lâcher av même main + frappé + 1/2T ratt B</t>
  </si>
  <si>
    <t>Flip taille frontal + 1T/Déb ratt A</t>
  </si>
  <si>
    <t>Flip taille ss bras ratt C2</t>
  </si>
  <si>
    <t>Flip ss RJ ratt RJ en tournant</t>
  </si>
  <si>
    <t>Flash back ratt C1</t>
  </si>
  <si>
    <t>Lâcher ds élément majeur (Ill/ roue/ soup)</t>
  </si>
  <si>
    <t>Pretzel lâcher ss bras ratt D1</t>
  </si>
  <si>
    <t>Flip/Lâcher H ratt D1</t>
  </si>
  <si>
    <t>Flip H int/ext +  frappé ratt C3</t>
  </si>
  <si>
    <t>Flip/Lâcher H av + frappé ratt A</t>
  </si>
  <si>
    <t>Flip/Lâcher H aveugle + frappé + 1/2 T</t>
  </si>
  <si>
    <t>Flip H av même main + frappé</t>
  </si>
  <si>
    <t>Lâcher H libre dos 1T/Déb ratt B</t>
  </si>
  <si>
    <t>Lâcher H13 ratt C2</t>
  </si>
  <si>
    <t>Flip/Lâcher H autour cou ratt MGR</t>
  </si>
  <si>
    <t>Flip/Lâcher H ss RJ + 1T/Déb</t>
  </si>
  <si>
    <t>Lambert (même main)</t>
  </si>
  <si>
    <t>Flip/Lâcher H bras tendu</t>
  </si>
  <si>
    <t>Pretzel lâcher H ds Y en tournant</t>
  </si>
  <si>
    <t>Pretzel lâcher H cou ratt ss RJ</t>
  </si>
  <si>
    <t>Lâcher H ss bras ratt C2</t>
  </si>
  <si>
    <t>Lucero arrière avec mains</t>
  </si>
  <si>
    <t>2 Intérieur bras en tournant</t>
  </si>
  <si>
    <t>Fujimi env enchainés (3 ou +)</t>
  </si>
  <si>
    <t>1/2 Fujimi env en tournant</t>
  </si>
  <si>
    <t>Diamond Roll (derrière/ devant/ derrière)</t>
  </si>
  <si>
    <t>Carry (2 ou +)</t>
  </si>
  <si>
    <t>Lucero devant end/ env</t>
  </si>
  <si>
    <t>H 1T intérieur bras</t>
  </si>
  <si>
    <t>H Bloqué aisselle + renvoi D ou G</t>
  </si>
  <si>
    <t>H Libre cou entier (1 2 3 4)</t>
  </si>
  <si>
    <t>H Neck Roll + éjection tête</t>
  </si>
  <si>
    <t>H Flip ou éjection ratt cou</t>
  </si>
  <si>
    <t>Intérieur bras aller/retour avec rouler poignet</t>
  </si>
  <si>
    <t xml:space="preserve">Double 1/2 Fujimi end (3 ou +) </t>
  </si>
  <si>
    <t>Fujimi avec 2 bras ouverts tendus</t>
  </si>
  <si>
    <t>Passage dos end aller/retour</t>
  </si>
  <si>
    <t>Passage dos aller/retour avec 1 bras ouvert tendu</t>
  </si>
  <si>
    <t>Libre cou entier (2 ou +)</t>
  </si>
  <si>
    <t>Hollie avec rouler sur le coude</t>
  </si>
  <si>
    <t>Lucero arrière avec mains placées (3 ou +)</t>
  </si>
  <si>
    <t>Ejections env en tournant (3 éjections)</t>
  </si>
  <si>
    <t xml:space="preserve">Coude coude éjection en tournant </t>
  </si>
  <si>
    <t>Ejections en tournant même bras</t>
  </si>
  <si>
    <t>H Fish avec changement de mains (SMITH)</t>
  </si>
  <si>
    <t>H Double rouler end autour du bras D ou G</t>
  </si>
  <si>
    <t>H Neck Roll + Neck Roll en passage au sol</t>
  </si>
  <si>
    <t>H Neck Roll env entier (2 ou +)</t>
  </si>
  <si>
    <t>1/2 Singer + H rouler frontal</t>
  </si>
  <si>
    <t>1/2 Singer + H intérieur du bras (2T ou +)</t>
  </si>
  <si>
    <t>H Hollie + intérieur du bras (2T ou +)</t>
  </si>
  <si>
    <t>H Ejections en tournant (3 éjections)</t>
  </si>
  <si>
    <t>Intérieur bras en tournant (3 ou +)</t>
  </si>
  <si>
    <t>Double 1/2 Fujimi env</t>
  </si>
  <si>
    <t>Seishi roll</t>
  </si>
  <si>
    <t>Lucero combinés devant/ derrière</t>
  </si>
  <si>
    <t>Ejections back 1/2 T même bras</t>
  </si>
  <si>
    <t>Coude coude éjections en tournant (2 ou +)</t>
  </si>
  <si>
    <t>Ejections en tournant (2 ou +)</t>
  </si>
  <si>
    <t>Ejection changement de latéral</t>
  </si>
  <si>
    <t>H Double Coliaux avec 1/2 rotation</t>
  </si>
  <si>
    <t>H Double rouler env autour du bras D ou G</t>
  </si>
  <si>
    <t>H Bloqués aisselle DG   (2 ou +)</t>
  </si>
  <si>
    <t>H Libre cou entier (2 ou +)</t>
  </si>
  <si>
    <t>H Neck Roll + 1/2 Singer</t>
  </si>
  <si>
    <t>H Hollie avec rouler sur le coude</t>
  </si>
  <si>
    <t>H Rattrapage cou + éjection épaule</t>
  </si>
  <si>
    <t>Intérieur bras enchainés (3 ou +)</t>
  </si>
  <si>
    <t>Intérieur bras enchainés avec rouler poignet (3 ou +)</t>
  </si>
  <si>
    <t>Passage dos end enchainés  (3 ou +)</t>
  </si>
  <si>
    <t>Passage dos aller/retour avec 1/2 ou éjection D ou G</t>
  </si>
  <si>
    <t>Passage dos env aller/retour</t>
  </si>
  <si>
    <t>2 Hollie avec rouler sur le cou</t>
  </si>
  <si>
    <t>Lucero devant end (3 ou +)</t>
  </si>
  <si>
    <t>Lucéro arrière sans mains</t>
  </si>
  <si>
    <t>Ejections env en tournant (2 ou +)</t>
  </si>
  <si>
    <t>Ejections en tournant même bras (2 ou +)</t>
  </si>
  <si>
    <t>Ejections changement de latéral (2 ou +)</t>
  </si>
  <si>
    <t>Ejection changement de latéral + passage dos</t>
  </si>
  <si>
    <t>H Triple rouler end autour du bras D ou G</t>
  </si>
  <si>
    <t xml:space="preserve">H Bloqué aisselle + illusion + renvoi </t>
  </si>
  <si>
    <t>H Neck Roll + Libre cou</t>
  </si>
  <si>
    <t>H Neck Roll + Neck Roll en passage au sol + jambes tendues</t>
  </si>
  <si>
    <t>H Neck Roll env + 1/2 Singer</t>
  </si>
  <si>
    <t>1/2 Singer illusion</t>
  </si>
  <si>
    <t>1/2 Singer env D ou G</t>
  </si>
  <si>
    <t>H Hollie avec passage sous épaule</t>
  </si>
  <si>
    <t>H Ejections (2 ou +) avec élément majeur dessous</t>
  </si>
  <si>
    <t>H Ejections en tournant (2 ou +)</t>
  </si>
  <si>
    <t>Double 1/2 fujimi env (3 ou +)</t>
  </si>
  <si>
    <t>Passage dos aller/retour avec 2 bras ouverts tendus</t>
  </si>
  <si>
    <t>Diamond Roll (4 ou +)</t>
  </si>
  <si>
    <t>Hollie avec arrêt vertical + pivot</t>
  </si>
  <si>
    <t>Ejections flash back  GD ou DG</t>
  </si>
  <si>
    <t>Ejection chg de latéral + 1T ratt autre coude</t>
  </si>
  <si>
    <t>H Triple rouler env autour du bras D ou G</t>
  </si>
  <si>
    <t>H Libre cou + Neck Roll</t>
  </si>
  <si>
    <t>H Neck Roll + Neck Roll en passage au sol + grand écart</t>
  </si>
  <si>
    <t>Tachibana (Neck Roll éjection côté D 2 bras réception G + Neck Roll)</t>
  </si>
  <si>
    <t>Singer env GD ou DG</t>
  </si>
  <si>
    <t>H 2 Hollie enchainés (passage par le cou)</t>
  </si>
  <si>
    <t>Intérieur bras avec chg d'axe V à H (3T ou +)</t>
  </si>
  <si>
    <t>Passage dos enchainés avec 1/2 ou éjections D et G</t>
  </si>
  <si>
    <t>Passage dos enchainés avec 2 bras ouverts tendus (3 ou +)</t>
  </si>
  <si>
    <t>Passage dos env enchainés (3 ou +)</t>
  </si>
  <si>
    <t>Lucero arrière sans mains (3 ou +)</t>
  </si>
  <si>
    <t>Ejections flash back  GDG ou DGD</t>
  </si>
  <si>
    <t>Ejections en tournant + 2T ou déboulés + éjections</t>
  </si>
  <si>
    <t>Ejection chg de latéral + 1T ratt autre coude (2 ou +)</t>
  </si>
  <si>
    <t>Ejection chg de latéral + passage dos (2 ou +)</t>
  </si>
  <si>
    <t>H Diamond roll (2 ou +)</t>
  </si>
  <si>
    <t>Singer enchainés (2 ou +)</t>
  </si>
  <si>
    <t xml:space="preserve">Singer enchainés DG avec double rouler autour du bras D et G </t>
  </si>
  <si>
    <t xml:space="preserve">Tomoe </t>
  </si>
  <si>
    <t>H Ejections Flash back DG ou GD (2 ou +)</t>
  </si>
  <si>
    <t>4 MG: 1 V / 1 H / 2 Libres / Connectés</t>
  </si>
  <si>
    <t>MGL_N1</t>
  </si>
  <si>
    <t>Pretzel lâcher ss bras 
+ frappé ratt A</t>
  </si>
  <si>
    <t>Flip/Lâcher ratt E</t>
  </si>
  <si>
    <t>Flip ext + frappé ratt D2</t>
  </si>
  <si>
    <t>Flip/Lâcher int dos ratt D1</t>
  </si>
  <si>
    <t>Flip/Lâcher int  dos + 1T ratt B</t>
  </si>
  <si>
    <t>Engt E1 + 1T/Déb</t>
  </si>
  <si>
    <t>Flip/Lâcher 1T/Déb ratt C2</t>
  </si>
  <si>
    <t>Flip av + frappé ratt C3</t>
  </si>
  <si>
    <t xml:space="preserve">Engt A + 1T/Déb ratt aveugle </t>
  </si>
  <si>
    <t>Flip/Lâcher 1T/Déb ratt aveugle + frappé</t>
  </si>
  <si>
    <t>Flip/Lâcher 1T/Déb ratt aveugle même main</t>
  </si>
  <si>
    <t>Flip/Lâcher av même main + frappé ratt C3</t>
  </si>
  <si>
    <t>Flip/Lâcher av même main + frappé + 1/2T ratt C1</t>
  </si>
  <si>
    <t>Flip/Lâcher av même main + frappé + 1T</t>
  </si>
  <si>
    <t>USA ratt D</t>
  </si>
  <si>
    <t>Flip taille frontal ratt C3</t>
  </si>
  <si>
    <t>Flip taille frontal + 1T/Déb ratt B</t>
  </si>
  <si>
    <t>Flip  ss RJ ratt D</t>
  </si>
  <si>
    <t>Flip/Lâcher ss RJ + Ejection ratt RJ en tournant</t>
  </si>
  <si>
    <t>Flip/Lâcher ss RJ + 1T/Déb ratt A</t>
  </si>
  <si>
    <t>Flip/Lâcher 1/2T ratt fermeture compléte</t>
  </si>
  <si>
    <t>Seishi + frappé</t>
  </si>
  <si>
    <t>Flash back ratt C2</t>
  </si>
  <si>
    <t>Lâcher dans élément majeur ratt A</t>
  </si>
  <si>
    <t>Pretzel lâcher cou + 1T/Déb ratt B</t>
  </si>
  <si>
    <t>Pretzel lâcher ss bras ratt D2</t>
  </si>
  <si>
    <t>Pretzel lâcher ss bras + frappé ratt D1</t>
  </si>
  <si>
    <t>Pretzel lâcher ss bras + 1T/Déb ratt B</t>
  </si>
  <si>
    <t>Pretzel lâcher ss bras + frappé + 1T/Déb ratt A</t>
  </si>
  <si>
    <t>Flip/Lâcher H ratt D2</t>
  </si>
  <si>
    <t>Flip H int/ext + frappé ratt D1</t>
  </si>
  <si>
    <t>Flip/Lâcher H 1T/Déb ratt C1</t>
  </si>
  <si>
    <t xml:space="preserve"> Flip/Lâcher H + frappé + 1T/Déb ratt MR dans le dos</t>
  </si>
  <si>
    <t>Flip/Lâcher aveugle dans le Y</t>
  </si>
  <si>
    <t>Flip/Lâcher H av + frappé ratt B</t>
  </si>
  <si>
    <t>Flip/Lâcher H av + frappé + 1/2T ratt A</t>
  </si>
  <si>
    <t>Flip/Lâcher H av même main + frappé ratt A</t>
  </si>
  <si>
    <t xml:space="preserve">Flip/Lâcher H av même main + frappé + 1/2T </t>
  </si>
  <si>
    <t>Flip/Lâcher H int MD 1T/Déb ratt MGR</t>
  </si>
  <si>
    <t>Lâcher H libre dos ratt C2</t>
  </si>
  <si>
    <t>Lâcher H13 ratt C3</t>
  </si>
  <si>
    <t>Lâcher H13 + Ejection ratt ss batt même jambe</t>
  </si>
  <si>
    <t>Flip/Lâcher H ss RJ 
ratt C1</t>
  </si>
  <si>
    <t>Flip/Lâcher H ss RJ int + 1/4T ratt ss jambe MG au sol</t>
  </si>
  <si>
    <t>Flip/Lâcher H ss RJ 1T/Déb ratt A</t>
  </si>
  <si>
    <t>Flip/Lâcher H ss jambe D ratt ss jambe G</t>
  </si>
  <si>
    <t>Lambert ratt B</t>
  </si>
  <si>
    <t>Lâcher H ss bras ratt C3</t>
  </si>
  <si>
    <t>Flip/Lâcher int dos  ratt D2</t>
  </si>
  <si>
    <t>Flip/Lâcher int dos + 1T ratt C1</t>
  </si>
  <si>
    <t>Flip/Lâcher 1T/Déb ratt C3</t>
  </si>
  <si>
    <t>Flip av + frappé ratt D</t>
  </si>
  <si>
    <t>Flip/Lâcher av + frappé + 1/2T ratt C3</t>
  </si>
  <si>
    <t xml:space="preserve">Engt B + 1T/Déb ratt aveugle </t>
  </si>
  <si>
    <t xml:space="preserve">1T/Déb av + frappé Engt ou ratt A </t>
  </si>
  <si>
    <t>Engt A + 1T/Déb av même main</t>
  </si>
  <si>
    <t>Flip/Lâcher av même main + frappé ratt D</t>
  </si>
  <si>
    <t>Flip/Lâcher av même main + frappé + 1/2T ratt C2</t>
  </si>
  <si>
    <t>Flip/Lâcher av même main + frappé + 1T ratt A</t>
  </si>
  <si>
    <t>Flip/Lâcher 1T/Déb av 
même main + frappé</t>
  </si>
  <si>
    <t>Flip taille frontal ratt D</t>
  </si>
  <si>
    <t>Flip taille frontal + 1T/Déb ratt C1</t>
  </si>
  <si>
    <t>Flip taille frontal ratt bras tendu + frappé ds le pivot ratt B</t>
  </si>
  <si>
    <t>Flip taille ss bras ratt C3</t>
  </si>
  <si>
    <t>Flip/Lâcher ss RJ + passage sol ratt RJ en tournant</t>
  </si>
  <si>
    <t>Flip/Lâcher ss RJ + 1T/Déb ratt B</t>
  </si>
  <si>
    <t>Flip/Lâcher bras tendus dans élément majeur</t>
  </si>
  <si>
    <t>Seishi + frappé ratt A</t>
  </si>
  <si>
    <t>Flash back ratt C3</t>
  </si>
  <si>
    <t>Flash back + 1T/Déb</t>
  </si>
  <si>
    <t>Lâcher dans élément majeur ratt B</t>
  </si>
  <si>
    <t>Pretzel lâcher cou + 1T/Déb ratt C1</t>
  </si>
  <si>
    <t>Pretzel lâcher ss bras + frappé ratt D2</t>
  </si>
  <si>
    <t>Pretzel lâcher ss bras + 1T/Déb ratt C1</t>
  </si>
  <si>
    <t>Pretzel lâcher ss bras + frappé + 1T/Déb ratt B</t>
  </si>
  <si>
    <t>Flip/Lâcher H 1T/Déb  ratt C2</t>
  </si>
  <si>
    <t>Flip/Lâcher H av + frappé ratt C1</t>
  </si>
  <si>
    <t>Flip/Lâcher H av + frappé + 1/2T ratt B</t>
  </si>
  <si>
    <t>H Engt A + 1T/Déb ratt av</t>
  </si>
  <si>
    <t>Flip/Lâcher H 1T/Déb ratt av + frappé</t>
  </si>
  <si>
    <t>Flip/Lâcher H avmême main dans le Y</t>
  </si>
  <si>
    <t>Flip/Lâcher H av même main + frappé ratt B</t>
  </si>
  <si>
    <t>Flip/Lâcher H av même main + frappé + 1/2T ratt A</t>
  </si>
  <si>
    <t>Lâcher H libre dos ratt C3</t>
  </si>
  <si>
    <t xml:space="preserve"> Lâcher H libre dos 1T/Déb ratt ou C1</t>
  </si>
  <si>
    <t>Flip/Lâcher H ss RJ 
ratt C2</t>
  </si>
  <si>
    <t>Flip/Lâcher H ss RJ 1T/Déb ratt B</t>
  </si>
  <si>
    <t>Lambert ratt C1</t>
  </si>
  <si>
    <t>Flip/Lâcher H bras tendus en remontée extension dorsale</t>
  </si>
  <si>
    <t>Lâcher H ss bras ratt D1</t>
  </si>
  <si>
    <t>Flip ext + frappé ratt E</t>
  </si>
  <si>
    <t>Flip/Lâcher int dos ratt E</t>
  </si>
  <si>
    <t>Flip/Lâcher int dos + 1T ratt C2</t>
  </si>
  <si>
    <t xml:space="preserve">Engt E2 + 1T/Déb </t>
  </si>
  <si>
    <t>Flip/Lâcher 1T/Déb ratt D</t>
  </si>
  <si>
    <t>Flip/Lâcher av + frappé + 1/2T ratt D</t>
  </si>
  <si>
    <t xml:space="preserve">Engt C + 1T/Déb ratt aveugle </t>
  </si>
  <si>
    <t>1T/Déb av + frappé Engt ou ratt B</t>
  </si>
  <si>
    <t>Engt B + 1T/Déb av même main</t>
  </si>
  <si>
    <t>Flip/Lâcher av même main + frappé + 1/2T ratt C3</t>
  </si>
  <si>
    <t>Flip/Lâcher av même main + frappé + 1T ratt B</t>
  </si>
  <si>
    <t>1T/Déb av même main + frappé Engt ou ratt A</t>
  </si>
  <si>
    <t>USA ratt E</t>
  </si>
  <si>
    <t>Flip taille frontal + 1T/Déb ratt C2</t>
  </si>
  <si>
    <t>Flip taille ss bras ratt D</t>
  </si>
  <si>
    <t>Flip ss RJ ratt E</t>
  </si>
  <si>
    <t>Flip/Lâcher ss RJ ratt ss batt même jambe en tournant</t>
  </si>
  <si>
    <t>Flip/Lâcher ss RJ + 1T/Déb ratt C1</t>
  </si>
  <si>
    <t>Flip/Lâcher 1T/Déb SD</t>
  </si>
  <si>
    <t>Flip/Lâcher autour cou pdt illusion ratt bras tendu</t>
  </si>
  <si>
    <t>Flip/Lâcher 1T/Déb ratt fermeture complète</t>
  </si>
  <si>
    <t>Seishi + frappé ratt B</t>
  </si>
  <si>
    <t>Flash back ratt D</t>
  </si>
  <si>
    <t>Flash back + 1T/Déb ratt A</t>
  </si>
  <si>
    <t>Lâcher dans élément majeur ratt C1</t>
  </si>
  <si>
    <t>Lâcher dans illusion + 1T/Déb</t>
  </si>
  <si>
    <t>Pretzel lâcher cou + 1T/Déb ratt C2</t>
  </si>
  <si>
    <t>Pretzel lâcher ss bras ratt E</t>
  </si>
  <si>
    <t>Pretzel lâcher ss bras + 1T/Déb ratt C2</t>
  </si>
  <si>
    <t>Pretzel lâcher ss bras + frappé + 1T/Déb ratt C1</t>
  </si>
  <si>
    <t>Flip/Lâcher H ratt E1</t>
  </si>
  <si>
    <t>Flip H int/ext + frappé ratt D2</t>
  </si>
  <si>
    <t>Flip/Lâcher H 1T/Déb ratt C3</t>
  </si>
  <si>
    <t>Flip/Lâcher H av + frappé ratt C2</t>
  </si>
  <si>
    <t>Flip/Lâcher H av + frappé + 1/2T ratt C1</t>
  </si>
  <si>
    <t>H Engt B + 1T/Déb ratt av</t>
  </si>
  <si>
    <t xml:space="preserve">H 1T/Déb ratt av + frappé Engt ou ratt A </t>
  </si>
  <si>
    <t>Flip/Lâcher H av même main + frappé ratt C1</t>
  </si>
  <si>
    <t>Flip/Lâcher H av même main + frappé + 1/2T ratt B</t>
  </si>
  <si>
    <t>H Engt A + 1T/Déb ratt av même main</t>
  </si>
  <si>
    <t>Flip/Lâcher H av même main + frappé + 1T/Déb</t>
  </si>
  <si>
    <t>Lâcher H libre dos ratt D1</t>
  </si>
  <si>
    <t>Lâcher H libre dos 1T/Déb ratt C2</t>
  </si>
  <si>
    <t>Lâcher H13 ratt pdt la remontée derrière la tête   ou D1</t>
  </si>
  <si>
    <t>Lâcher H13 ratt ss batt en sautant même jambe</t>
  </si>
  <si>
    <t>Flip/Lâcher H ss RJ ratt C3</t>
  </si>
  <si>
    <t>Flip/Lâcher H ss RJ 1T/Déb ratt C1</t>
  </si>
  <si>
    <t>Lambert ratt C2</t>
  </si>
  <si>
    <t>Lâcher H ss bras ratt D2</t>
  </si>
  <si>
    <t>Flip/Lâcher int dos  + 1T ratt C3</t>
  </si>
  <si>
    <t>Flip/Lâcher 1T/Déb ratt E</t>
  </si>
  <si>
    <t>Flip av + frappé ratt E</t>
  </si>
  <si>
    <t xml:space="preserve">Engt D + 1T/Déb ratt aveugle </t>
  </si>
  <si>
    <t xml:space="preserve">1T/Déb av + frappé Engt ou ratt C </t>
  </si>
  <si>
    <t>Engt C + 1T/Déb av même main</t>
  </si>
  <si>
    <t>Flip/Lâcher av même main + frappé ratt E</t>
  </si>
  <si>
    <t>Flip/Lâcher av même main + frappé + 1/2T ratt D</t>
  </si>
  <si>
    <t>Flip/Lâcher av même main + frappé + 1T ratt C</t>
  </si>
  <si>
    <t>1T/Déb av même main + frappé Engt ou ratt B</t>
  </si>
  <si>
    <t>Flip taille frontal ratt E</t>
  </si>
  <si>
    <t>Flip taille frontal + 1T/Déb ratt C3</t>
  </si>
  <si>
    <t>Flip/Lâcher ss RJ ratt RJ même jambe en tournant</t>
  </si>
  <si>
    <t>Flip/Lâcher ss RJ 1T/Déb ratt C2</t>
  </si>
  <si>
    <t xml:space="preserve">Seishi + frappé ratt C </t>
  </si>
  <si>
    <t>Seishi + 1T/Déb</t>
  </si>
  <si>
    <t>Flash back + 1T/Déb ratt B</t>
  </si>
  <si>
    <t>Lâcher dans élément majeur ratt C2</t>
  </si>
  <si>
    <t>Lâcher dans illusion + 1T/Déb ratt A</t>
  </si>
  <si>
    <t>Pretzel lâcher cou + 1T/Déb ratt C3</t>
  </si>
  <si>
    <t>Pretzel lâcher ss bras + frappé ratt E1</t>
  </si>
  <si>
    <t>Pretzel lâcher ss bras + 1T/Déb ratt C3</t>
  </si>
  <si>
    <t>Pretzel lâcher ss bras + frappé + 1T/Déb ratt C2</t>
  </si>
  <si>
    <t>Flip/Lâcher H ratt E2</t>
  </si>
  <si>
    <t>Flip H int/ext + frappé ratt E1</t>
  </si>
  <si>
    <t>Flip/Lâcher H autour cou  + 1T/Déb ratt MGR</t>
  </si>
  <si>
    <t>Flip/Lâcher H 1T/Déb ratt D</t>
  </si>
  <si>
    <t>Flip/Lâcher H av + frappé ratt C3</t>
  </si>
  <si>
    <t>Flip/Lâcher H av + frappé + 1/2T ratt C2</t>
  </si>
  <si>
    <t>H Engt C + 1T/Déb ratt av</t>
  </si>
  <si>
    <t>H 1T/Déb ratt av + frappé Engt ou ratt B</t>
  </si>
  <si>
    <t>Flip/Lâcher H av même main + frappé ratt C2</t>
  </si>
  <si>
    <t>Flip/Lâcher H av même main + frappé + 1/2T ratt C1</t>
  </si>
  <si>
    <t>H Engt B + 1T/Déb ratt av même main</t>
  </si>
  <si>
    <t>Flip/Lâcher H av même main + frappé + 1T/Déb   ratt A</t>
  </si>
  <si>
    <t>H Engt A + 1T/Déb ratt av même main + frappé</t>
  </si>
  <si>
    <t>Flip/Lâcher H + Ejection + 1T ratt av même main</t>
  </si>
  <si>
    <t>Lâcher H libre dos ratt D2</t>
  </si>
  <si>
    <t>Lâcher H libre dos 1T/Déb ratt C3</t>
  </si>
  <si>
    <t>Lâcher H13 ratt D2</t>
  </si>
  <si>
    <t>Flip/Lâcher H autour cou 1T/Déb ratt MGR</t>
  </si>
  <si>
    <t>Flip/Lâcher H ss RJ ratt D1</t>
  </si>
  <si>
    <t>Flip/Lâcher H ss RJ ratt RJ en tournant</t>
  </si>
  <si>
    <t>Flip/Lâcher H ss RJ 1T/Déb ratt C2</t>
  </si>
  <si>
    <t>Flip/Lâcher H ss jambe D + 1T/deb ratt ss jambe G</t>
  </si>
  <si>
    <t>Lambert ratt C3</t>
  </si>
  <si>
    <t>Flip/Lâcher H bras tendus ds élément majeur</t>
  </si>
  <si>
    <t>Lâcher H ss bras ratt E1</t>
  </si>
  <si>
    <t>Flip/Lâcher int dos + 1T ratt D</t>
  </si>
  <si>
    <t>Flip/Lâcher av + frappé + 1/2T ratt E</t>
  </si>
  <si>
    <t xml:space="preserve">Engt E + 1T/Déb ratt aveugle </t>
  </si>
  <si>
    <t>1T/Déb av + frappé Engt ou ratt D</t>
  </si>
  <si>
    <t>Engt D + 1T/Déb av même main</t>
  </si>
  <si>
    <t>Flip/Lâcher av même main + frappé + 1/2T ratt E</t>
  </si>
  <si>
    <t>Flip/Lâcher av même main + frappé + 1T ratt D</t>
  </si>
  <si>
    <t>1T/Déb av même main + frappé Engt ou ratt C</t>
  </si>
  <si>
    <t>Flip taille frontal + 1T/Déb ratt D</t>
  </si>
  <si>
    <t>Flip taille ss bras ratt E</t>
  </si>
  <si>
    <t>Flip/Lâcher ss RJ + 1T ratt RJ en tournant</t>
  </si>
  <si>
    <t>Flip/Lâcher ss RJ + 1T/Déb ratt C3</t>
  </si>
  <si>
    <t>Seishi + frappé ratt D</t>
  </si>
  <si>
    <t>Flash back ratt E</t>
  </si>
  <si>
    <t>Flash back + 1T/Déb ratt C</t>
  </si>
  <si>
    <t>Lâcher dans élément majeur ratt C3</t>
  </si>
  <si>
    <t>Lâcher dans illusion + 1T/Déb ratt B</t>
  </si>
  <si>
    <t>Pretzel lâcher cou + 1T/Déb ratt D</t>
  </si>
  <si>
    <t>Pretzel lâcher ss bras + frappé ratt E2</t>
  </si>
  <si>
    <t>Pretzel lâcher ss bras + 1T/Déb ratt D</t>
  </si>
  <si>
    <t>Pretzel lâcher ss bras  + frappé + 1T/Déb ratt C3</t>
  </si>
  <si>
    <t>Flip H int/ext + frappé ratt E2</t>
  </si>
  <si>
    <t>Flip/Lâcher H 1T/Déb ratt E</t>
  </si>
  <si>
    <t>Flip/Lâcher H av + frappé ratt D</t>
  </si>
  <si>
    <t>Flip/Lâcher H av + frappé + 1/2T ratt C3</t>
  </si>
  <si>
    <t>H Engt D + 1T/Déb ratt av</t>
  </si>
  <si>
    <t xml:space="preserve">H 1T/Déb ratt av + frappé Engt ou ratt C </t>
  </si>
  <si>
    <t>Flip/Lâcher H av même main + frappé ratt C3</t>
  </si>
  <si>
    <t>Flip/Lâcher H av même main + frappé + 1/2T ratt C2 et C3</t>
  </si>
  <si>
    <t>H Engt C + 1T/Déb ratt av même main</t>
  </si>
  <si>
    <t>Flip/Lâcher H av même main + frappé + 1T/Déb   ratt B</t>
  </si>
  <si>
    <t>H Engt B + 1T/Déb ratt av même main + frappé</t>
  </si>
  <si>
    <t>Lâcher H libre dos ratt E1</t>
  </si>
  <si>
    <t>Lâcher H libre dos 1T/Déb ratt D</t>
  </si>
  <si>
    <t>Lâcher H13 ratt E1</t>
  </si>
  <si>
    <t>Flip/Lâcher H autour cou 1T/Déb ratt MGR  (J. TANGUY)</t>
  </si>
  <si>
    <t>Flip/Lâcher H ss RJ ratt D2</t>
  </si>
  <si>
    <t>Flip/Lâcher H ss RJ 1T/Déb ratt RJ en tournant ou C3</t>
  </si>
  <si>
    <t>Lambert ratt D</t>
  </si>
  <si>
    <t>Lâcher H ss bras ratt E2</t>
  </si>
  <si>
    <t>Flip/Lâcher H av + frappé ratt E</t>
  </si>
  <si>
    <t>Flip/Lâcher H av + frappé + 1/2T ratt D et E</t>
  </si>
  <si>
    <t>H Engt E + 1T/Déb ratt av</t>
  </si>
  <si>
    <t>H 1T/deb av + frappé Engt ou ratt D et E</t>
  </si>
  <si>
    <t>Flip/Lâcher H av même main + frappé ratt D et E</t>
  </si>
  <si>
    <t>Flip/Lâcher H av même main + frappé + 1/2T ratt D et E</t>
  </si>
  <si>
    <t>H Engt D + 1T/Déb ratt av même main</t>
  </si>
  <si>
    <t>Flip/Lâcher H av même main + frappé + 1T/Déb       ratt C, D et E</t>
  </si>
  <si>
    <t>H Engt C, D et E + 1T/Déb ratt av
même main + frappé</t>
  </si>
  <si>
    <t>Flip/Lâcher H 1T/Déb + Ejection + 1T/Déb ratt av même main</t>
  </si>
  <si>
    <t>Lâcher H libre dos ratt E2</t>
  </si>
  <si>
    <t>Lâcher H libre dos 1T/Déb ratt E</t>
  </si>
  <si>
    <t>Lâcher H13 ratt E2</t>
  </si>
  <si>
    <t>Flip/Lâcher H ss RJ ratt E</t>
  </si>
  <si>
    <t>Flip/Lâcher H ss RJ 1T/deb
ratt RJ en tournant ou D et E</t>
  </si>
  <si>
    <t>Lambert ratt E</t>
  </si>
  <si>
    <t>Flip/Lâcher int dos                  + 1T ratt E</t>
  </si>
  <si>
    <t>1T/Déb av + frappé Engt ou ratt E</t>
  </si>
  <si>
    <t>Engt E + 1T/Déb av même main</t>
  </si>
  <si>
    <t>Flip/Lâcher av même main + frappé ratt bras tendu en ill</t>
  </si>
  <si>
    <t>Flip/Lâcher av même main + frappé + 1T ratt E</t>
  </si>
  <si>
    <t>1T/Déb av même main + frappé
Engt ou ratt D et E</t>
  </si>
  <si>
    <t>Flip taille frontal + 1T/Déb ratt E</t>
  </si>
  <si>
    <t>Flip taille ratt bras tendus dans élément majeur</t>
  </si>
  <si>
    <t>Flip/Lâcher ss RJ ratt RJ sauté même jambe en tournant</t>
  </si>
  <si>
    <t>Flip/Lâcher ss RJ + 1T/Déb 
ratt D et E</t>
  </si>
  <si>
    <t>Seishi + frappé ratt E</t>
  </si>
  <si>
    <t>Flash back + 1T/Déb
 ratt D et E</t>
  </si>
  <si>
    <t>Lâcher dans élément majeur ratt D et E</t>
  </si>
  <si>
    <t>Lâcher dans illusion + 1T/Déb ratt C D E</t>
  </si>
  <si>
    <t>Pretzel lâcher cou                  + 1T/Déb ratt E</t>
  </si>
  <si>
    <t>Pretzel lâcher ss bras             + 1T/Déb ratt E</t>
  </si>
  <si>
    <t>Pretzel lâcher ss bras             + frappé + 1T/Déb ratt D et E</t>
  </si>
  <si>
    <t>Flip/Lâcher int dos + 1T ratt E</t>
  </si>
  <si>
    <t>Pretzel lâcher cou + 1T/Déb ratt E</t>
  </si>
  <si>
    <t>Pretzel lâcher ss bras + 1T/Déb ratt E</t>
  </si>
  <si>
    <t>Pretzel lâcher ss bras  + frappé + 1T/Déb ratt D et E</t>
  </si>
  <si>
    <t>MGL_VALEUR_N1</t>
  </si>
  <si>
    <t>N3 /  Poussin</t>
  </si>
  <si>
    <t>N3 /  Benjamin,</t>
  </si>
  <si>
    <t>N3 /  Benjamin</t>
  </si>
  <si>
    <t>Dos MG / Taille</t>
  </si>
  <si>
    <t>Salto Facial et dérivés</t>
  </si>
  <si>
    <t>PENALITE NOMBRE DE ROULER MANQUANT</t>
  </si>
  <si>
    <t>PENALITE PLAN VERTICAL OU HORIZONTAL MANQUANT</t>
  </si>
  <si>
    <t>NOTE MOYENNE DES LANCERS</t>
  </si>
  <si>
    <t>Saut Glissade</t>
  </si>
  <si>
    <t>Saut de basque</t>
  </si>
  <si>
    <t>Dos MG / Taille MG</t>
  </si>
  <si>
    <t>Dos MD / Taille MD</t>
  </si>
  <si>
    <t>Chg de mains en tournant (sandwich en tournant)</t>
  </si>
  <si>
    <t>VALEUR BRUTE DES ROULERS</t>
  </si>
  <si>
    <t>NOMBRE DE LANCER</t>
  </si>
  <si>
    <t>TOTAL VALEUR DE LANCERS</t>
  </si>
  <si>
    <t>NOMBRE DE LANCERS PRIS EN COMPTE</t>
  </si>
  <si>
    <t>VALEUR TOTALE
DU LANCER</t>
  </si>
  <si>
    <t>LANCER</t>
  </si>
  <si>
    <t>Nombre de lancer(s) artistique(s)</t>
  </si>
  <si>
    <t>Cabriole devant, côté et derrière</t>
  </si>
  <si>
    <t>Changement de main bloqué (sandwich)</t>
  </si>
  <si>
    <t>Frontal engt int/ext sur main</t>
  </si>
  <si>
    <t>Bloqué autre bras</t>
  </si>
  <si>
    <t>Coude coude + 1 coude endroit ou envers</t>
  </si>
  <si>
    <t>Carry endroit ou envers</t>
  </si>
  <si>
    <t>H Neck Roll entier 
(1 2 3 4)</t>
  </si>
  <si>
    <t>H Changement de main ou changement de main bloqué (sandwich)</t>
  </si>
  <si>
    <t>LIBRE (si option 5 lancers)</t>
  </si>
  <si>
    <t>LIBRE (si option 4 lancers)</t>
  </si>
  <si>
    <t>LIBRE (si option 3 lancers)</t>
  </si>
  <si>
    <t>PENALITE NOMBRE DE MANIEMENT GENERAL MANQUANT</t>
  </si>
  <si>
    <t>VALEUR BRUTE DU MANIEMENT GENERAL</t>
  </si>
  <si>
    <t>R horizontal 1:</t>
  </si>
  <si>
    <t>VALEUR BRUTE FINALE DU MANIEMENT GENERAL</t>
  </si>
  <si>
    <t>NOTE GLOBALE 
Total valeur des lancer = Total A - Total B</t>
  </si>
  <si>
    <t xml:space="preserve">Rouler avec repère visuel + lâcher ou lancer </t>
  </si>
  <si>
    <t xml:space="preserve">H Maniement général avec repère visuel + Lancer ou lâcher direct </t>
  </si>
  <si>
    <t xml:space="preserve">Maniement général avec repère visuel + Lancer ou Lâcher direct </t>
  </si>
  <si>
    <t xml:space="preserve">H Rouler avec repère visuel + lâcher ou Lancer </t>
  </si>
  <si>
    <t>Toute pose avec ou sans bras avec repère visuel 2 temps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</si>
</sst>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;;"/>
    <numFmt numFmtId="165" formatCode="0.00;\-0.00;\-"/>
    <numFmt numFmtId="166" formatCode="0;\-0;\-"/>
    <numFmt numFmtId="167" formatCode="0.00;;"/>
    <numFmt numFmtId="168" formatCode="0.00;[Red]0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7"/>
      <color rgb="FF000000"/>
      <name val="Calibri"/>
      <family val="2"/>
      <scheme val="minor"/>
    </font>
    <font>
      <sz val="11"/>
      <color theme="1"/>
      <name val="Arial"/>
      <family val="2"/>
    </font>
    <font>
      <sz val="6"/>
      <name val="Arial"/>
      <family val="2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3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355">
    <xf numFmtId="0" fontId="0" fillId="0" borderId="0" xfId="0"/>
    <xf numFmtId="0" fontId="2" fillId="0" borderId="0" xfId="1" applyFont="1"/>
    <xf numFmtId="0" fontId="2" fillId="6" borderId="0" xfId="1" applyFont="1" applyFill="1" applyAlignment="1">
      <alignment vertical="top"/>
    </xf>
    <xf numFmtId="0" fontId="1" fillId="6" borderId="0" xfId="1" applyFill="1" applyAlignment="1">
      <alignment vertical="top"/>
    </xf>
    <xf numFmtId="0" fontId="1" fillId="7" borderId="0" xfId="1" applyFill="1" applyAlignment="1">
      <alignment vertical="top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1" fillId="7" borderId="0" xfId="1" applyFill="1"/>
    <xf numFmtId="0" fontId="2" fillId="0" borderId="0" xfId="1" quotePrefix="1" applyFont="1" applyAlignment="1">
      <alignment horizontal="center"/>
    </xf>
    <xf numFmtId="0" fontId="1" fillId="0" borderId="0" xfId="1"/>
    <xf numFmtId="0" fontId="2" fillId="0" borderId="0" xfId="1" quotePrefix="1" applyFont="1"/>
    <xf numFmtId="0" fontId="1" fillId="0" borderId="49" xfId="1" applyBorder="1"/>
    <xf numFmtId="0" fontId="2" fillId="0" borderId="49" xfId="1" applyFont="1" applyBorder="1"/>
    <xf numFmtId="0" fontId="1" fillId="8" borderId="0" xfId="1" applyFill="1"/>
    <xf numFmtId="0" fontId="1" fillId="0" borderId="0" xfId="1" applyProtection="1">
      <protection locked="0"/>
    </xf>
    <xf numFmtId="0" fontId="1" fillId="3" borderId="0" xfId="1" applyFill="1"/>
    <xf numFmtId="0" fontId="2" fillId="3" borderId="0" xfId="1" applyFont="1" applyFill="1"/>
    <xf numFmtId="0" fontId="2" fillId="8" borderId="0" xfId="1" quotePrefix="1" applyFont="1" applyFill="1"/>
    <xf numFmtId="0" fontId="2" fillId="3" borderId="0" xfId="1" quotePrefix="1" applyFont="1" applyFill="1"/>
    <xf numFmtId="0" fontId="0" fillId="0" borderId="0" xfId="0" applyAlignment="1">
      <alignment wrapText="1"/>
    </xf>
    <xf numFmtId="0" fontId="24" fillId="0" borderId="0" xfId="0" applyFont="1"/>
    <xf numFmtId="0" fontId="1" fillId="11" borderId="0" xfId="1" applyFill="1" applyAlignment="1">
      <alignment vertical="top"/>
    </xf>
    <xf numFmtId="0" fontId="2" fillId="11" borderId="0" xfId="1" applyFont="1" applyFill="1" applyAlignment="1">
      <alignment vertical="top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0" xfId="1" applyFont="1"/>
    <xf numFmtId="0" fontId="6" fillId="10" borderId="0" xfId="1" applyFont="1" applyFill="1"/>
    <xf numFmtId="0" fontId="8" fillId="0" borderId="0" xfId="1" applyFont="1"/>
    <xf numFmtId="0" fontId="2" fillId="9" borderId="0" xfId="1" applyFont="1" applyFill="1"/>
    <xf numFmtId="0" fontId="10" fillId="0" borderId="0" xfId="1" applyFont="1"/>
    <xf numFmtId="0" fontId="11" fillId="0" borderId="2" xfId="1" applyFont="1" applyBorder="1"/>
    <xf numFmtId="0" fontId="11" fillId="0" borderId="0" xfId="1" applyFont="1"/>
    <xf numFmtId="0" fontId="11" fillId="2" borderId="13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textRotation="90" wrapText="1"/>
    </xf>
    <xf numFmtId="0" fontId="1" fillId="0" borderId="16" xfId="1" applyBorder="1" applyAlignment="1">
      <alignment horizontal="center" textRotation="90" wrapText="1"/>
    </xf>
    <xf numFmtId="0" fontId="1" fillId="0" borderId="18" xfId="1" applyBorder="1" applyAlignment="1">
      <alignment horizontal="center" textRotation="90" wrapText="1"/>
    </xf>
    <xf numFmtId="0" fontId="1" fillId="0" borderId="17" xfId="1" applyBorder="1" applyAlignment="1">
      <alignment horizontal="center" textRotation="90" wrapText="1"/>
    </xf>
    <xf numFmtId="0" fontId="12" fillId="0" borderId="0" xfId="1" applyFont="1"/>
    <xf numFmtId="0" fontId="8" fillId="0" borderId="27" xfId="1" applyFont="1" applyBorder="1" applyAlignment="1">
      <alignment horizontal="center" vertical="center" wrapText="1"/>
    </xf>
    <xf numFmtId="9" fontId="18" fillId="0" borderId="28" xfId="1" quotePrefix="1" applyNumberFormat="1" applyFont="1" applyBorder="1" applyAlignment="1">
      <alignment horizontal="center" vertical="center" wrapText="1"/>
    </xf>
    <xf numFmtId="49" fontId="13" fillId="0" borderId="26" xfId="1" applyNumberFormat="1" applyFont="1" applyBorder="1" applyAlignment="1">
      <alignment horizontal="center" vertical="center" wrapText="1"/>
    </xf>
    <xf numFmtId="0" fontId="11" fillId="0" borderId="23" xfId="1" quotePrefix="1" applyFont="1" applyBorder="1" applyAlignment="1">
      <alignment horizontal="center" vertical="center" wrapText="1"/>
    </xf>
    <xf numFmtId="0" fontId="18" fillId="0" borderId="22" xfId="1" quotePrefix="1" applyFont="1" applyBorder="1" applyAlignment="1">
      <alignment horizontal="center" vertical="center" wrapText="1"/>
    </xf>
    <xf numFmtId="0" fontId="18" fillId="0" borderId="26" xfId="1" quotePrefix="1" applyFont="1" applyBorder="1" applyAlignment="1">
      <alignment horizontal="center" vertical="center" wrapText="1"/>
    </xf>
    <xf numFmtId="0" fontId="18" fillId="0" borderId="23" xfId="1" quotePrefix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/>
    </xf>
    <xf numFmtId="0" fontId="15" fillId="3" borderId="13" xfId="1" applyFont="1" applyFill="1" applyBorder="1" applyAlignment="1">
      <alignment horizont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42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0" fontId="18" fillId="5" borderId="31" xfId="1" applyFont="1" applyFill="1" applyBorder="1" applyAlignment="1">
      <alignment vertical="center" wrapText="1"/>
    </xf>
    <xf numFmtId="0" fontId="2" fillId="0" borderId="35" xfId="1" applyFont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19" fillId="5" borderId="64" xfId="1" applyFont="1" applyFill="1" applyBorder="1" applyAlignment="1">
      <alignment horizontal="center" vertical="center" wrapText="1"/>
    </xf>
    <xf numFmtId="0" fontId="19" fillId="5" borderId="38" xfId="1" applyFont="1" applyFill="1" applyBorder="1" applyAlignment="1">
      <alignment horizontal="center" vertical="center" wrapText="1"/>
    </xf>
    <xf numFmtId="0" fontId="18" fillId="5" borderId="39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1" fillId="4" borderId="32" xfId="1" applyFont="1" applyFill="1" applyBorder="1" applyAlignment="1">
      <alignment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42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vertical="center" wrapText="1"/>
    </xf>
    <xf numFmtId="0" fontId="11" fillId="4" borderId="23" xfId="1" applyFont="1" applyFill="1" applyBorder="1" applyAlignment="1">
      <alignment vertical="center" wrapText="1"/>
    </xf>
    <xf numFmtId="0" fontId="11" fillId="4" borderId="26" xfId="1" applyFont="1" applyFill="1" applyBorder="1" applyAlignment="1">
      <alignment vertical="center" wrapText="1"/>
    </xf>
    <xf numFmtId="0" fontId="11" fillId="4" borderId="28" xfId="1" applyFont="1" applyFill="1" applyBorder="1" applyAlignment="1">
      <alignment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64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vertical="center" wrapText="1"/>
    </xf>
    <xf numFmtId="0" fontId="11" fillId="5" borderId="39" xfId="1" applyFont="1" applyFill="1" applyBorder="1" applyAlignment="1">
      <alignment vertical="center" wrapText="1"/>
    </xf>
    <xf numFmtId="0" fontId="11" fillId="4" borderId="40" xfId="1" applyFont="1" applyFill="1" applyBorder="1" applyAlignment="1">
      <alignment vertical="center" wrapText="1"/>
    </xf>
    <xf numFmtId="0" fontId="2" fillId="4" borderId="58" xfId="1" applyFont="1" applyFill="1" applyBorder="1" applyAlignment="1">
      <alignment horizontal="center" vertical="center" wrapText="1"/>
    </xf>
    <xf numFmtId="0" fontId="16" fillId="0" borderId="57" xfId="1" applyFont="1" applyBorder="1" applyAlignment="1">
      <alignment vertical="center" wrapText="1"/>
    </xf>
    <xf numFmtId="0" fontId="16" fillId="0" borderId="54" xfId="1" applyFont="1" applyBorder="1" applyAlignment="1">
      <alignment vertical="center" wrapText="1"/>
    </xf>
    <xf numFmtId="0" fontId="2" fillId="5" borderId="41" xfId="1" applyFont="1" applyFill="1" applyBorder="1" applyAlignment="1">
      <alignment vertical="center" wrapText="1"/>
    </xf>
    <xf numFmtId="0" fontId="16" fillId="0" borderId="0" xfId="1" applyFont="1" applyAlignment="1">
      <alignment vertical="center" wrapText="1"/>
    </xf>
    <xf numFmtId="0" fontId="2" fillId="0" borderId="42" xfId="1" applyFont="1" applyBorder="1" applyAlignment="1">
      <alignment vertical="center" wrapText="1"/>
    </xf>
    <xf numFmtId="0" fontId="2" fillId="5" borderId="45" xfId="1" applyFont="1" applyFill="1" applyBorder="1" applyAlignment="1">
      <alignment horizontal="center" vertical="center" wrapText="1"/>
    </xf>
    <xf numFmtId="0" fontId="13" fillId="5" borderId="63" xfId="1" applyFont="1" applyFill="1" applyBorder="1" applyAlignment="1">
      <alignment vertical="center" wrapText="1"/>
    </xf>
    <xf numFmtId="0" fontId="13" fillId="4" borderId="48" xfId="1" applyFont="1" applyFill="1" applyBorder="1" applyAlignment="1">
      <alignment vertical="center" wrapText="1"/>
    </xf>
    <xf numFmtId="0" fontId="13" fillId="5" borderId="0" xfId="1" applyFont="1" applyFill="1" applyAlignment="1">
      <alignment vertical="center" wrapText="1"/>
    </xf>
    <xf numFmtId="0" fontId="1" fillId="5" borderId="0" xfId="1" applyFill="1" applyAlignment="1">
      <alignment vertical="top" wrapText="1"/>
    </xf>
    <xf numFmtId="0" fontId="2" fillId="5" borderId="0" xfId="1" applyFont="1" applyFill="1" applyAlignment="1">
      <alignment vertical="top" wrapText="1"/>
    </xf>
    <xf numFmtId="0" fontId="5" fillId="12" borderId="0" xfId="1" applyFont="1" applyFill="1" applyAlignment="1">
      <alignment vertical="center"/>
    </xf>
    <xf numFmtId="0" fontId="25" fillId="12" borderId="0" xfId="1" applyFont="1" applyFill="1" applyAlignment="1">
      <alignment vertical="center"/>
    </xf>
    <xf numFmtId="0" fontId="2" fillId="12" borderId="0" xfId="1" applyFont="1" applyFill="1"/>
    <xf numFmtId="0" fontId="11" fillId="12" borderId="0" xfId="1" applyFont="1" applyFill="1" applyAlignment="1">
      <alignment vertical="center"/>
    </xf>
    <xf numFmtId="0" fontId="16" fillId="12" borderId="0" xfId="1" applyFont="1" applyFill="1" applyAlignment="1">
      <alignment vertical="center" wrapText="1"/>
    </xf>
    <xf numFmtId="0" fontId="2" fillId="5" borderId="0" xfId="1" applyFont="1" applyFill="1"/>
    <xf numFmtId="0" fontId="16" fillId="5" borderId="0" xfId="1" applyFont="1" applyFill="1" applyAlignment="1">
      <alignment vertical="center" wrapText="1"/>
    </xf>
    <xf numFmtId="0" fontId="2" fillId="0" borderId="53" xfId="1" applyFont="1" applyBorder="1"/>
    <xf numFmtId="0" fontId="11" fillId="5" borderId="50" xfId="1" applyFont="1" applyFill="1" applyBorder="1" applyAlignment="1">
      <alignment vertical="center" wrapText="1"/>
    </xf>
    <xf numFmtId="0" fontId="14" fillId="5" borderId="53" xfId="1" applyFont="1" applyFill="1" applyBorder="1" applyAlignment="1">
      <alignment vertical="center" wrapText="1"/>
    </xf>
    <xf numFmtId="0" fontId="2" fillId="5" borderId="0" xfId="1" applyFont="1" applyFill="1" applyAlignment="1">
      <alignment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top"/>
    </xf>
    <xf numFmtId="0" fontId="26" fillId="12" borderId="58" xfId="2" applyFont="1" applyFill="1" applyBorder="1" applyAlignment="1">
      <alignment horizontal="center" vertical="center" wrapText="1"/>
    </xf>
    <xf numFmtId="0" fontId="0" fillId="0" borderId="58" xfId="0" applyBorder="1"/>
    <xf numFmtId="0" fontId="26" fillId="12" borderId="20" xfId="2" applyFont="1" applyFill="1" applyBorder="1" applyAlignment="1">
      <alignment horizontal="center" vertical="center" wrapText="1"/>
    </xf>
    <xf numFmtId="0" fontId="0" fillId="0" borderId="20" xfId="0" applyBorder="1"/>
    <xf numFmtId="0" fontId="28" fillId="0" borderId="65" xfId="1" applyFont="1" applyBorder="1" applyAlignment="1">
      <alignment horizontal="center" vertical="center"/>
    </xf>
    <xf numFmtId="0" fontId="1" fillId="7" borderId="0" xfId="1" applyFill="1" applyAlignment="1">
      <alignment vertical="center"/>
    </xf>
    <xf numFmtId="0" fontId="2" fillId="5" borderId="33" xfId="1" applyFont="1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26" fillId="12" borderId="0" xfId="2" applyFont="1" applyFill="1" applyAlignment="1">
      <alignment horizontal="center" vertical="center" wrapText="1"/>
    </xf>
    <xf numFmtId="0" fontId="1" fillId="0" borderId="58" xfId="1" applyBorder="1"/>
    <xf numFmtId="0" fontId="28" fillId="8" borderId="65" xfId="1" applyFont="1" applyFill="1" applyBorder="1" applyAlignment="1">
      <alignment horizontal="center" vertical="center"/>
    </xf>
    <xf numFmtId="0" fontId="25" fillId="5" borderId="18" xfId="1" applyFont="1" applyFill="1" applyBorder="1" applyAlignment="1">
      <alignment vertical="center" wrapText="1"/>
    </xf>
    <xf numFmtId="0" fontId="11" fillId="5" borderId="67" xfId="1" applyFont="1" applyFill="1" applyBorder="1"/>
    <xf numFmtId="0" fontId="14" fillId="5" borderId="51" xfId="1" applyFont="1" applyFill="1" applyBorder="1" applyAlignment="1">
      <alignment horizontal="center" vertical="center" wrapText="1"/>
    </xf>
    <xf numFmtId="0" fontId="1" fillId="3" borderId="0" xfId="1" applyFill="1" applyAlignment="1">
      <alignment wrapText="1"/>
    </xf>
    <xf numFmtId="0" fontId="22" fillId="3" borderId="0" xfId="2" applyFont="1" applyFill="1" applyAlignment="1">
      <alignment vertical="center"/>
    </xf>
    <xf numFmtId="0" fontId="0" fillId="3" borderId="0" xfId="0" applyFill="1"/>
    <xf numFmtId="0" fontId="22" fillId="3" borderId="0" xfId="2" applyFont="1" applyFill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3" fillId="3" borderId="0" xfId="2" applyFont="1" applyFill="1" applyAlignment="1">
      <alignment vertical="center" wrapText="1"/>
    </xf>
    <xf numFmtId="0" fontId="22" fillId="3" borderId="0" xfId="2" applyFont="1" applyFill="1" applyAlignment="1">
      <alignment vertical="center" wrapText="1"/>
    </xf>
    <xf numFmtId="0" fontId="22" fillId="3" borderId="0" xfId="2" applyFont="1" applyFill="1"/>
    <xf numFmtId="0" fontId="1" fillId="0" borderId="0" xfId="1" applyAlignment="1">
      <alignment wrapText="1"/>
    </xf>
    <xf numFmtId="0" fontId="29" fillId="13" borderId="0" xfId="0" applyFont="1" applyFill="1"/>
    <xf numFmtId="0" fontId="1" fillId="3" borderId="49" xfId="1" applyFill="1" applyBorder="1"/>
    <xf numFmtId="0" fontId="1" fillId="0" borderId="49" xfId="1" applyBorder="1" applyAlignment="1">
      <alignment wrapText="1"/>
    </xf>
    <xf numFmtId="0" fontId="0" fillId="0" borderId="18" xfId="0" applyBorder="1"/>
    <xf numFmtId="0" fontId="30" fillId="12" borderId="58" xfId="2" applyFont="1" applyFill="1" applyBorder="1" applyAlignment="1">
      <alignment horizontal="center" vertical="center" wrapText="1"/>
    </xf>
    <xf numFmtId="0" fontId="26" fillId="14" borderId="58" xfId="0" applyFont="1" applyFill="1" applyBorder="1" applyAlignment="1">
      <alignment horizontal="center" vertical="center" wrapText="1"/>
    </xf>
    <xf numFmtId="0" fontId="25" fillId="5" borderId="53" xfId="1" applyFont="1" applyFill="1" applyBorder="1" applyAlignment="1">
      <alignment vertical="center"/>
    </xf>
    <xf numFmtId="0" fontId="11" fillId="5" borderId="50" xfId="1" applyFont="1" applyFill="1" applyBorder="1" applyAlignment="1">
      <alignment vertical="center"/>
    </xf>
    <xf numFmtId="0" fontId="2" fillId="3" borderId="49" xfId="1" applyFont="1" applyFill="1" applyBorder="1"/>
    <xf numFmtId="0" fontId="0" fillId="3" borderId="0" xfId="0" applyFill="1" applyAlignment="1">
      <alignment wrapText="1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167" fontId="8" fillId="0" borderId="26" xfId="1" applyNumberFormat="1" applyFont="1" applyBorder="1" applyAlignment="1">
      <alignment horizontal="center" vertical="center" wrapText="1"/>
    </xf>
    <xf numFmtId="0" fontId="8" fillId="0" borderId="32" xfId="1" applyFont="1" applyBorder="1" applyAlignment="1" applyProtection="1">
      <alignment horizontal="center" vertical="center" wrapText="1"/>
      <protection locked="0"/>
    </xf>
    <xf numFmtId="164" fontId="8" fillId="0" borderId="36" xfId="1" applyNumberFormat="1" applyFont="1" applyBorder="1" applyAlignment="1">
      <alignment horizontal="center" vertical="center" wrapText="1"/>
    </xf>
    <xf numFmtId="164" fontId="8" fillId="0" borderId="35" xfId="1" applyNumberFormat="1" applyFont="1" applyBorder="1" applyAlignment="1">
      <alignment horizontal="center" vertical="center" wrapText="1"/>
    </xf>
    <xf numFmtId="167" fontId="8" fillId="0" borderId="22" xfId="1" applyNumberFormat="1" applyFont="1" applyBorder="1" applyAlignment="1">
      <alignment horizontal="center" vertical="center" wrapText="1"/>
    </xf>
    <xf numFmtId="167" fontId="8" fillId="0" borderId="23" xfId="1" applyNumberFormat="1" applyFont="1" applyBorder="1" applyAlignment="1">
      <alignment horizontal="center" vertical="center" wrapText="1"/>
    </xf>
    <xf numFmtId="164" fontId="31" fillId="0" borderId="40" xfId="1" applyNumberFormat="1" applyFont="1" applyBorder="1" applyAlignment="1">
      <alignment horizontal="center" vertical="center" wrapText="1"/>
    </xf>
    <xf numFmtId="164" fontId="8" fillId="0" borderId="40" xfId="1" applyNumberFormat="1" applyFont="1" applyBorder="1" applyAlignment="1">
      <alignment horizontal="center" vertical="center" wrapText="1"/>
    </xf>
    <xf numFmtId="0" fontId="17" fillId="5" borderId="50" xfId="1" applyFont="1" applyFill="1" applyBorder="1" applyAlignment="1">
      <alignment vertical="center" wrapText="1"/>
    </xf>
    <xf numFmtId="0" fontId="25" fillId="5" borderId="50" xfId="1" applyFont="1" applyFill="1" applyBorder="1" applyAlignment="1">
      <alignment vertical="center" wrapText="1"/>
    </xf>
    <xf numFmtId="0" fontId="17" fillId="5" borderId="44" xfId="1" applyFont="1" applyFill="1" applyBorder="1" applyAlignment="1">
      <alignment vertical="center" wrapText="1"/>
    </xf>
    <xf numFmtId="0" fontId="17" fillId="5" borderId="53" xfId="1" applyFont="1" applyFill="1" applyBorder="1" applyAlignment="1">
      <alignment horizontal="center" vertical="center" wrapText="1"/>
    </xf>
    <xf numFmtId="0" fontId="17" fillId="5" borderId="51" xfId="1" applyFont="1" applyFill="1" applyBorder="1" applyAlignment="1">
      <alignment horizontal="center" vertical="center" wrapText="1"/>
    </xf>
    <xf numFmtId="0" fontId="32" fillId="0" borderId="4" xfId="1" applyFont="1" applyBorder="1"/>
    <xf numFmtId="0" fontId="9" fillId="0" borderId="61" xfId="1" applyFont="1" applyBorder="1" applyAlignment="1">
      <alignment vertical="center" wrapText="1"/>
    </xf>
    <xf numFmtId="165" fontId="9" fillId="0" borderId="32" xfId="1" applyNumberFormat="1" applyFont="1" applyBorder="1" applyAlignment="1">
      <alignment horizontal="center" vertical="center" wrapText="1"/>
    </xf>
    <xf numFmtId="166" fontId="9" fillId="0" borderId="43" xfId="1" applyNumberFormat="1" applyFont="1" applyBorder="1" applyAlignment="1">
      <alignment horizontal="center" vertical="center" wrapText="1"/>
    </xf>
    <xf numFmtId="165" fontId="8" fillId="0" borderId="28" xfId="1" applyNumberFormat="1" applyFont="1" applyBorder="1" applyAlignment="1">
      <alignment horizontal="center" vertical="center" wrapText="1"/>
    </xf>
    <xf numFmtId="0" fontId="9" fillId="0" borderId="60" xfId="1" applyFont="1" applyBorder="1" applyAlignment="1">
      <alignment vertical="center" wrapText="1"/>
    </xf>
    <xf numFmtId="0" fontId="9" fillId="0" borderId="62" xfId="1" applyFont="1" applyBorder="1" applyAlignment="1">
      <alignment vertical="center" wrapText="1"/>
    </xf>
    <xf numFmtId="0" fontId="2" fillId="5" borderId="0" xfId="1" applyFont="1" applyFill="1" applyAlignment="1">
      <alignment horizontal="center"/>
    </xf>
    <xf numFmtId="0" fontId="5" fillId="5" borderId="51" xfId="1" applyFont="1" applyFill="1" applyBorder="1" applyAlignment="1">
      <alignment horizontal="center" vertical="center" wrapText="1"/>
    </xf>
    <xf numFmtId="2" fontId="17" fillId="5" borderId="18" xfId="1" applyNumberFormat="1" applyFont="1" applyFill="1" applyBorder="1" applyAlignment="1">
      <alignment horizontal="center" vertical="center" wrapText="1"/>
    </xf>
    <xf numFmtId="0" fontId="17" fillId="0" borderId="10" xfId="1" applyFont="1" applyBorder="1" applyAlignment="1" applyProtection="1">
      <alignment horizontal="center" vertical="center" wrapText="1"/>
      <protection locked="0"/>
    </xf>
    <xf numFmtId="0" fontId="36" fillId="5" borderId="67" xfId="0" applyFont="1" applyFill="1" applyBorder="1" applyAlignment="1" applyProtection="1">
      <alignment horizontal="center" vertical="center" wrapText="1"/>
      <protection locked="0"/>
    </xf>
    <xf numFmtId="0" fontId="17" fillId="0" borderId="6" xfId="1" applyFont="1" applyBorder="1" applyAlignment="1" applyProtection="1">
      <alignment horizontal="center" vertical="center" wrapText="1"/>
      <protection locked="0"/>
    </xf>
    <xf numFmtId="0" fontId="17" fillId="0" borderId="7" xfId="1" applyFont="1" applyBorder="1" applyAlignment="1" applyProtection="1">
      <alignment horizontal="center" vertical="center" wrapText="1"/>
      <protection locked="0"/>
    </xf>
    <xf numFmtId="0" fontId="17" fillId="0" borderId="32" xfId="1" applyFont="1" applyBorder="1" applyAlignment="1" applyProtection="1">
      <alignment horizontal="center" vertical="center" wrapText="1"/>
      <protection locked="0"/>
    </xf>
    <xf numFmtId="0" fontId="17" fillId="0" borderId="6" xfId="1" applyFont="1" applyBorder="1" applyAlignment="1" applyProtection="1">
      <alignment horizontal="center" vertical="top" wrapText="1"/>
      <protection locked="0"/>
    </xf>
    <xf numFmtId="0" fontId="17" fillId="0" borderId="19" xfId="1" applyFont="1" applyBorder="1" applyAlignment="1" applyProtection="1">
      <alignment horizontal="center" vertical="center" wrapText="1"/>
      <protection locked="0"/>
    </xf>
    <xf numFmtId="0" fontId="17" fillId="0" borderId="20" xfId="1" applyFont="1" applyBorder="1" applyAlignment="1" applyProtection="1">
      <alignment horizontal="center" vertical="center" wrapText="1"/>
      <protection locked="0"/>
    </xf>
    <xf numFmtId="0" fontId="17" fillId="0" borderId="52" xfId="1" applyFont="1" applyBorder="1" applyAlignment="1" applyProtection="1">
      <alignment vertical="center" wrapText="1"/>
      <protection locked="0"/>
    </xf>
    <xf numFmtId="0" fontId="17" fillId="0" borderId="30" xfId="1" applyFont="1" applyBorder="1" applyAlignment="1" applyProtection="1">
      <alignment horizontal="center" vertical="center" wrapText="1"/>
      <protection locked="0"/>
    </xf>
    <xf numFmtId="0" fontId="2" fillId="4" borderId="15" xfId="1" applyFont="1" applyFill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39" xfId="1" applyFont="1" applyFill="1" applyBorder="1" applyAlignment="1">
      <alignment horizontal="center" vertical="center" wrapText="1"/>
    </xf>
    <xf numFmtId="0" fontId="8" fillId="4" borderId="70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8" fillId="4" borderId="71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49" xfId="1" applyFont="1" applyFill="1" applyBorder="1" applyAlignment="1">
      <alignment horizontal="center" vertical="center" wrapText="1"/>
    </xf>
    <xf numFmtId="0" fontId="8" fillId="4" borderId="5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left" vertical="center" wrapText="1"/>
    </xf>
    <xf numFmtId="0" fontId="17" fillId="5" borderId="4" xfId="1" applyFont="1" applyFill="1" applyBorder="1" applyAlignment="1">
      <alignment horizontal="left" vertical="center" wrapText="1"/>
    </xf>
    <xf numFmtId="0" fontId="17" fillId="5" borderId="66" xfId="1" applyFont="1" applyFill="1" applyBorder="1" applyAlignment="1">
      <alignment horizontal="left" vertical="center" wrapText="1"/>
    </xf>
    <xf numFmtId="0" fontId="17" fillId="0" borderId="47" xfId="1" applyFont="1" applyBorder="1" applyAlignment="1">
      <alignment horizontal="left" vertical="center"/>
    </xf>
    <xf numFmtId="0" fontId="17" fillId="0" borderId="44" xfId="1" applyFont="1" applyBorder="1" applyAlignment="1">
      <alignment horizontal="left" vertical="center"/>
    </xf>
    <xf numFmtId="0" fontId="17" fillId="0" borderId="48" xfId="1" applyFont="1" applyBorder="1" applyAlignment="1">
      <alignment horizontal="left" vertical="center"/>
    </xf>
    <xf numFmtId="0" fontId="14" fillId="12" borderId="21" xfId="1" applyFont="1" applyFill="1" applyBorder="1" applyAlignment="1">
      <alignment horizontal="center" vertical="center" wrapText="1"/>
    </xf>
    <xf numFmtId="0" fontId="14" fillId="12" borderId="49" xfId="1" applyFont="1" applyFill="1" applyBorder="1" applyAlignment="1">
      <alignment horizontal="center" vertical="center" wrapText="1"/>
    </xf>
    <xf numFmtId="0" fontId="14" fillId="12" borderId="52" xfId="1" applyFont="1" applyFill="1" applyBorder="1" applyAlignment="1">
      <alignment horizontal="center" vertical="center" wrapText="1"/>
    </xf>
    <xf numFmtId="0" fontId="32" fillId="0" borderId="47" xfId="1" applyFont="1" applyBorder="1" applyAlignment="1">
      <alignment horizontal="left" vertical="center"/>
    </xf>
    <xf numFmtId="0" fontId="32" fillId="0" borderId="44" xfId="1" applyFont="1" applyBorder="1" applyAlignment="1">
      <alignment horizontal="left" vertical="center"/>
    </xf>
    <xf numFmtId="0" fontId="32" fillId="0" borderId="48" xfId="1" applyFont="1" applyBorder="1" applyAlignment="1">
      <alignment horizontal="left" vertical="center"/>
    </xf>
    <xf numFmtId="0" fontId="14" fillId="5" borderId="29" xfId="1" applyFont="1" applyFill="1" applyBorder="1" applyAlignment="1">
      <alignment horizontal="left" vertical="center" wrapText="1"/>
    </xf>
    <xf numFmtId="0" fontId="14" fillId="5" borderId="46" xfId="1" applyFont="1" applyFill="1" applyBorder="1" applyAlignment="1">
      <alignment horizontal="left" vertical="center" wrapText="1"/>
    </xf>
    <xf numFmtId="0" fontId="14" fillId="5" borderId="56" xfId="1" applyFont="1" applyFill="1" applyBorder="1" applyAlignment="1">
      <alignment horizontal="left" vertical="center" wrapText="1"/>
    </xf>
    <xf numFmtId="0" fontId="32" fillId="0" borderId="4" xfId="1" applyFont="1" applyBorder="1" applyAlignment="1">
      <alignment horizontal="center"/>
    </xf>
    <xf numFmtId="0" fontId="32" fillId="0" borderId="5" xfId="1" applyFont="1" applyBorder="1" applyAlignment="1">
      <alignment horizontal="center"/>
    </xf>
    <xf numFmtId="4" fontId="25" fillId="12" borderId="20" xfId="1" applyNumberFormat="1" applyFont="1" applyFill="1" applyBorder="1" applyAlignment="1">
      <alignment horizontal="right" vertical="center" wrapText="1"/>
    </xf>
    <xf numFmtId="0" fontId="8" fillId="4" borderId="47" xfId="1" applyFont="1" applyFill="1" applyBorder="1" applyAlignment="1">
      <alignment horizontal="center" vertical="center" wrapText="1"/>
    </xf>
    <xf numFmtId="0" fontId="8" fillId="4" borderId="44" xfId="1" applyFont="1" applyFill="1" applyBorder="1" applyAlignment="1">
      <alignment horizontal="center" vertical="center" wrapText="1"/>
    </xf>
    <xf numFmtId="0" fontId="8" fillId="4" borderId="48" xfId="1" applyFont="1" applyFill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5" borderId="68" xfId="0" applyFont="1" applyFill="1" applyBorder="1" applyAlignment="1">
      <alignment horizontal="center" vertical="center" wrapText="1"/>
    </xf>
    <xf numFmtId="0" fontId="35" fillId="5" borderId="69" xfId="0" applyFont="1" applyFill="1" applyBorder="1" applyAlignment="1">
      <alignment horizontal="center" vertical="center" wrapText="1"/>
    </xf>
    <xf numFmtId="0" fontId="5" fillId="12" borderId="21" xfId="1" applyFont="1" applyFill="1" applyBorder="1" applyAlignment="1" applyProtection="1">
      <alignment horizontal="center" vertical="center" wrapText="1"/>
      <protection locked="0"/>
    </xf>
    <xf numFmtId="0" fontId="5" fillId="12" borderId="49" xfId="1" applyFont="1" applyFill="1" applyBorder="1" applyAlignment="1" applyProtection="1">
      <alignment horizontal="center" vertical="center" wrapText="1"/>
      <protection locked="0"/>
    </xf>
    <xf numFmtId="0" fontId="5" fillId="12" borderId="52" xfId="1" applyFont="1" applyFill="1" applyBorder="1" applyAlignment="1" applyProtection="1">
      <alignment horizontal="center" vertical="center" wrapText="1"/>
      <protection locked="0"/>
    </xf>
    <xf numFmtId="0" fontId="2" fillId="12" borderId="21" xfId="1" applyFont="1" applyFill="1" applyBorder="1" applyAlignment="1" applyProtection="1">
      <alignment horizontal="center" vertical="center" wrapText="1"/>
      <protection locked="0"/>
    </xf>
    <xf numFmtId="0" fontId="2" fillId="12" borderId="49" xfId="1" applyFont="1" applyFill="1" applyBorder="1" applyAlignment="1" applyProtection="1">
      <alignment horizontal="center" vertical="center" wrapText="1"/>
      <protection locked="0"/>
    </xf>
    <xf numFmtId="0" fontId="2" fillId="12" borderId="52" xfId="1" applyFont="1" applyFill="1" applyBorder="1" applyAlignment="1" applyProtection="1">
      <alignment horizontal="center" vertical="center" wrapText="1"/>
      <protection locked="0"/>
    </xf>
    <xf numFmtId="168" fontId="17" fillId="5" borderId="44" xfId="1" applyNumberFormat="1" applyFont="1" applyFill="1" applyBorder="1" applyAlignment="1">
      <alignment horizontal="center" vertical="center" wrapText="1"/>
    </xf>
    <xf numFmtId="168" fontId="17" fillId="5" borderId="48" xfId="1" applyNumberFormat="1" applyFont="1" applyFill="1" applyBorder="1" applyAlignment="1">
      <alignment horizontal="center" vertical="center" wrapText="1"/>
    </xf>
    <xf numFmtId="0" fontId="14" fillId="5" borderId="53" xfId="1" applyFont="1" applyFill="1" applyBorder="1" applyAlignment="1">
      <alignment horizontal="center" vertical="center"/>
    </xf>
    <xf numFmtId="0" fontId="14" fillId="5" borderId="51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left" vertical="center" wrapText="1"/>
    </xf>
    <xf numFmtId="0" fontId="32" fillId="5" borderId="46" xfId="1" applyFont="1" applyFill="1" applyBorder="1" applyAlignment="1">
      <alignment horizontal="left" vertical="center" wrapText="1"/>
    </xf>
    <xf numFmtId="0" fontId="32" fillId="5" borderId="56" xfId="1" applyFont="1" applyFill="1" applyBorder="1" applyAlignment="1">
      <alignment horizontal="left" vertical="center" wrapText="1"/>
    </xf>
    <xf numFmtId="0" fontId="16" fillId="0" borderId="47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0" fontId="2" fillId="4" borderId="47" xfId="1" applyFont="1" applyFill="1" applyBorder="1" applyAlignment="1">
      <alignment horizontal="center" vertical="center" wrapText="1"/>
    </xf>
    <xf numFmtId="0" fontId="2" fillId="4" borderId="44" xfId="1" applyFont="1" applyFill="1" applyBorder="1" applyAlignment="1">
      <alignment horizontal="center" vertical="center" wrapText="1"/>
    </xf>
    <xf numFmtId="0" fontId="2" fillId="4" borderId="48" xfId="1" applyFont="1" applyFill="1" applyBorder="1" applyAlignment="1">
      <alignment horizontal="center" vertical="center" wrapText="1"/>
    </xf>
    <xf numFmtId="0" fontId="32" fillId="5" borderId="47" xfId="1" applyFont="1" applyFill="1" applyBorder="1" applyAlignment="1">
      <alignment horizontal="center" vertical="center" wrapText="1"/>
    </xf>
    <xf numFmtId="0" fontId="32" fillId="5" borderId="44" xfId="1" applyFont="1" applyFill="1" applyBorder="1" applyAlignment="1">
      <alignment horizontal="center" vertical="center" wrapText="1"/>
    </xf>
    <xf numFmtId="0" fontId="32" fillId="5" borderId="48" xfId="1" applyFont="1" applyFill="1" applyBorder="1" applyAlignment="1">
      <alignment horizontal="center" vertical="center" wrapText="1"/>
    </xf>
    <xf numFmtId="0" fontId="2" fillId="5" borderId="47" xfId="1" applyFont="1" applyFill="1" applyBorder="1" applyAlignment="1">
      <alignment horizontal="center" vertical="center" wrapText="1"/>
    </xf>
    <xf numFmtId="0" fontId="2" fillId="5" borderId="44" xfId="1" applyFont="1" applyFill="1" applyBorder="1" applyAlignment="1">
      <alignment horizontal="center" vertical="center" wrapText="1"/>
    </xf>
    <xf numFmtId="0" fontId="2" fillId="5" borderId="48" xfId="1" applyFont="1" applyFill="1" applyBorder="1" applyAlignment="1">
      <alignment horizontal="center" vertical="center" wrapText="1"/>
    </xf>
    <xf numFmtId="0" fontId="11" fillId="5" borderId="50" xfId="1" applyFont="1" applyFill="1" applyBorder="1" applyAlignment="1">
      <alignment horizontal="left" vertical="center" wrapText="1"/>
    </xf>
    <xf numFmtId="0" fontId="11" fillId="5" borderId="53" xfId="1" applyFont="1" applyFill="1" applyBorder="1" applyAlignment="1">
      <alignment horizontal="left" vertical="center" wrapText="1"/>
    </xf>
    <xf numFmtId="0" fontId="25" fillId="5" borderId="65" xfId="1" applyFont="1" applyFill="1" applyBorder="1" applyAlignment="1">
      <alignment horizontal="center" vertical="center"/>
    </xf>
    <xf numFmtId="0" fontId="14" fillId="5" borderId="47" xfId="1" applyFont="1" applyFill="1" applyBorder="1" applyAlignment="1">
      <alignment horizontal="center" vertical="center" wrapText="1"/>
    </xf>
    <xf numFmtId="0" fontId="14" fillId="5" borderId="44" xfId="1" applyFont="1" applyFill="1" applyBorder="1" applyAlignment="1">
      <alignment horizontal="center" vertical="center" wrapText="1"/>
    </xf>
    <xf numFmtId="0" fontId="14" fillId="5" borderId="48" xfId="1" applyFont="1" applyFill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17" fillId="5" borderId="50" xfId="1" applyFont="1" applyFill="1" applyBorder="1" applyAlignment="1">
      <alignment horizontal="left" vertical="center" wrapText="1"/>
    </xf>
    <xf numFmtId="0" fontId="17" fillId="5" borderId="53" xfId="1" applyFont="1" applyFill="1" applyBorder="1" applyAlignment="1">
      <alignment horizontal="left" vertical="center" wrapText="1"/>
    </xf>
    <xf numFmtId="0" fontId="27" fillId="5" borderId="53" xfId="1" applyFont="1" applyFill="1" applyBorder="1" applyAlignment="1">
      <alignment horizontal="center" vertical="center" wrapText="1"/>
    </xf>
    <xf numFmtId="0" fontId="27" fillId="5" borderId="51" xfId="1" applyFont="1" applyFill="1" applyBorder="1" applyAlignment="1">
      <alignment horizontal="center" vertical="center" wrapText="1"/>
    </xf>
    <xf numFmtId="4" fontId="14" fillId="12" borderId="21" xfId="1" applyNumberFormat="1" applyFont="1" applyFill="1" applyBorder="1" applyAlignment="1">
      <alignment horizontal="center" vertical="center" wrapText="1"/>
    </xf>
    <xf numFmtId="4" fontId="14" fillId="12" borderId="49" xfId="1" applyNumberFormat="1" applyFont="1" applyFill="1" applyBorder="1" applyAlignment="1">
      <alignment horizontal="center" vertical="center" wrapText="1"/>
    </xf>
    <xf numFmtId="4" fontId="14" fillId="12" borderId="52" xfId="1" applyNumberFormat="1" applyFont="1" applyFill="1" applyBorder="1" applyAlignment="1">
      <alignment horizontal="center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46" xfId="1" applyFont="1" applyBorder="1" applyAlignment="1">
      <alignment horizontal="left" vertical="center" wrapText="1"/>
    </xf>
    <xf numFmtId="0" fontId="13" fillId="0" borderId="56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right" vertical="center" wrapText="1"/>
    </xf>
    <xf numFmtId="0" fontId="8" fillId="0" borderId="46" xfId="1" applyFont="1" applyBorder="1" applyAlignment="1">
      <alignment horizontal="right" vertical="center" wrapText="1"/>
    </xf>
    <xf numFmtId="0" fontId="8" fillId="4" borderId="29" xfId="1" applyFont="1" applyFill="1" applyBorder="1" applyAlignment="1">
      <alignment horizontal="center" vertical="center" wrapText="1"/>
    </xf>
    <xf numFmtId="0" fontId="8" fillId="4" borderId="56" xfId="1" applyFont="1" applyFill="1" applyBorder="1" applyAlignment="1">
      <alignment horizontal="center" vertical="center" wrapText="1"/>
    </xf>
    <xf numFmtId="0" fontId="11" fillId="4" borderId="29" xfId="1" applyFont="1" applyFill="1" applyBorder="1" applyAlignment="1">
      <alignment horizontal="center" vertical="center" wrapText="1"/>
    </xf>
    <xf numFmtId="0" fontId="11" fillId="4" borderId="46" xfId="1" applyFont="1" applyFill="1" applyBorder="1" applyAlignment="1">
      <alignment horizontal="center" vertical="center" wrapText="1"/>
    </xf>
    <xf numFmtId="0" fontId="2" fillId="5" borderId="57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33" fillId="5" borderId="53" xfId="1" applyFont="1" applyFill="1" applyBorder="1" applyAlignment="1">
      <alignment horizontal="center" vertical="center" wrapText="1"/>
    </xf>
    <xf numFmtId="0" fontId="33" fillId="5" borderId="51" xfId="1" applyFont="1" applyFill="1" applyBorder="1" applyAlignment="1">
      <alignment horizontal="center" vertical="center" wrapText="1"/>
    </xf>
    <xf numFmtId="0" fontId="2" fillId="4" borderId="31" xfId="1" applyFont="1" applyFill="1" applyBorder="1" applyAlignment="1">
      <alignment horizontal="center" vertical="center" wrapText="1"/>
    </xf>
    <xf numFmtId="0" fontId="2" fillId="4" borderId="59" xfId="1" applyFont="1" applyFill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right" vertical="center" wrapText="1"/>
    </xf>
    <xf numFmtId="0" fontId="9" fillId="0" borderId="54" xfId="1" applyFont="1" applyBorder="1" applyAlignment="1">
      <alignment horizontal="right" vertical="center" wrapText="1"/>
    </xf>
    <xf numFmtId="0" fontId="2" fillId="15" borderId="57" xfId="1" applyFont="1" applyFill="1" applyBorder="1" applyAlignment="1">
      <alignment horizontal="center" vertical="center" wrapText="1"/>
    </xf>
    <xf numFmtId="0" fontId="2" fillId="15" borderId="55" xfId="1" applyFont="1" applyFill="1" applyBorder="1" applyAlignment="1">
      <alignment horizontal="center" vertical="center" wrapText="1"/>
    </xf>
    <xf numFmtId="0" fontId="9" fillId="5" borderId="47" xfId="1" applyFont="1" applyFill="1" applyBorder="1" applyAlignment="1">
      <alignment horizontal="right" vertical="center" wrapText="1"/>
    </xf>
    <xf numFmtId="0" fontId="9" fillId="5" borderId="44" xfId="1" applyFont="1" applyFill="1" applyBorder="1" applyAlignment="1">
      <alignment horizontal="right" vertical="center" wrapText="1"/>
    </xf>
    <xf numFmtId="0" fontId="11" fillId="15" borderId="18" xfId="1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center" vertical="center" wrapText="1"/>
    </xf>
    <xf numFmtId="0" fontId="2" fillId="4" borderId="5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14" fillId="0" borderId="14" xfId="1" applyFont="1" applyBorder="1" applyAlignment="1">
      <alignment horizontal="center" vertical="center" textRotation="90" wrapText="1"/>
    </xf>
    <xf numFmtId="0" fontId="14" fillId="0" borderId="34" xfId="1" applyFont="1" applyBorder="1" applyAlignment="1">
      <alignment horizontal="center" vertical="center" textRotation="90" wrapText="1"/>
    </xf>
    <xf numFmtId="164" fontId="8" fillId="0" borderId="11" xfId="1" applyNumberFormat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9" fillId="5" borderId="25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vertical="center" wrapText="1"/>
    </xf>
    <xf numFmtId="0" fontId="11" fillId="4" borderId="7" xfId="1" applyFont="1" applyFill="1" applyBorder="1" applyAlignment="1">
      <alignment vertical="center" wrapText="1"/>
    </xf>
    <xf numFmtId="0" fontId="11" fillId="4" borderId="10" xfId="1" applyFont="1" applyFill="1" applyBorder="1" applyAlignment="1">
      <alignment vertical="center" wrapText="1"/>
    </xf>
    <xf numFmtId="0" fontId="11" fillId="4" borderId="11" xfId="1" applyFont="1" applyFill="1" applyBorder="1" applyAlignment="1">
      <alignment vertical="center" wrapText="1"/>
    </xf>
    <xf numFmtId="0" fontId="11" fillId="4" borderId="12" xfId="1" applyFont="1" applyFill="1" applyBorder="1" applyAlignment="1">
      <alignment vertical="center" wrapText="1"/>
    </xf>
    <xf numFmtId="0" fontId="2" fillId="4" borderId="39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textRotation="90" wrapText="1"/>
    </xf>
    <xf numFmtId="0" fontId="1" fillId="0" borderId="15" xfId="1" applyBorder="1" applyAlignment="1">
      <alignment horizontal="center" textRotation="90" wrapText="1"/>
    </xf>
    <xf numFmtId="0" fontId="2" fillId="0" borderId="20" xfId="1" applyFont="1" applyBorder="1" applyAlignment="1">
      <alignment horizontal="center" textRotation="90" wrapText="1"/>
    </xf>
    <xf numFmtId="0" fontId="1" fillId="0" borderId="31" xfId="1" applyBorder="1" applyAlignment="1">
      <alignment horizontal="center" textRotation="90" wrapText="1"/>
    </xf>
    <xf numFmtId="0" fontId="2" fillId="0" borderId="30" xfId="1" applyFont="1" applyBorder="1" applyAlignment="1">
      <alignment horizontal="center" textRotation="90" wrapTex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textRotation="90" wrapText="1"/>
    </xf>
    <xf numFmtId="0" fontId="2" fillId="0" borderId="19" xfId="1" applyFont="1" applyBorder="1" applyAlignment="1">
      <alignment horizontal="center" textRotation="90" wrapText="1"/>
    </xf>
    <xf numFmtId="0" fontId="2" fillId="0" borderId="15" xfId="1" applyFont="1" applyBorder="1" applyAlignment="1">
      <alignment horizontal="center" textRotation="90" wrapText="1"/>
    </xf>
    <xf numFmtId="0" fontId="11" fillId="2" borderId="13" xfId="1" applyFont="1" applyFill="1" applyBorder="1" applyAlignment="1">
      <alignment horizontal="center" textRotation="90" wrapText="1"/>
    </xf>
    <xf numFmtId="0" fontId="2" fillId="4" borderId="70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2" fillId="4" borderId="71" xfId="1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4" borderId="49" xfId="1" applyFont="1" applyFill="1" applyBorder="1" applyAlignment="1">
      <alignment horizontal="center" vertical="center" wrapText="1"/>
    </xf>
    <xf numFmtId="0" fontId="2" fillId="4" borderId="52" xfId="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1" fillId="0" borderId="1" xfId="1" applyFont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textRotation="90" wrapText="1"/>
    </xf>
    <xf numFmtId="0" fontId="11" fillId="0" borderId="12" xfId="1" applyFont="1" applyBorder="1" applyAlignment="1">
      <alignment horizontal="center" vertical="center" textRotation="90" wrapText="1"/>
    </xf>
    <xf numFmtId="0" fontId="11" fillId="0" borderId="27" xfId="1" applyFont="1" applyBorder="1" applyAlignment="1">
      <alignment horizontal="center" vertical="center" textRotation="90" wrapText="1"/>
    </xf>
    <xf numFmtId="0" fontId="11" fillId="2" borderId="12" xfId="1" applyFont="1" applyFill="1" applyBorder="1" applyAlignment="1">
      <alignment horizontal="center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</cellXfs>
  <cellStyles count="3">
    <cellStyle name="Excel Built-in Normal" xfId="2" xr:uid="{89E99D4B-9080-4600-B3A0-BD7871F8544D}"/>
    <cellStyle name="Normal" xfId="0" builtinId="0"/>
    <cellStyle name="Normal 2" xfId="1" xr:uid="{3F9DBF14-D04A-44E1-A041-1EE2CE4363BB}"/>
  </cellStyles>
  <dxfs count="28"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</xdr:colOff>
      <xdr:row>0</xdr:row>
      <xdr:rowOff>63499</xdr:rowOff>
    </xdr:from>
    <xdr:to>
      <xdr:col>3</xdr:col>
      <xdr:colOff>1033363</xdr:colOff>
      <xdr:row>4</xdr:row>
      <xdr:rowOff>42332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58E5975-E10C-DF4C-8F33-5B8F4794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67" y="63499"/>
          <a:ext cx="1181529" cy="1375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9</xdr:col>
      <xdr:colOff>68903</xdr:colOff>
      <xdr:row>19</xdr:row>
      <xdr:rowOff>137626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426563-759F-883D-C382-C7C360E15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6080" y="2042160"/>
          <a:ext cx="3726503" cy="538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28EF-5E6D-40A9-9901-512CC05FA0DB}">
  <sheetPr codeName="Feuil1">
    <pageSetUpPr fitToPage="1"/>
  </sheetPr>
  <dimension ref="A1:CO46"/>
  <sheetViews>
    <sheetView tabSelected="1" view="pageBreakPreview" zoomScale="70" zoomScaleNormal="100" zoomScaleSheetLayoutView="70" workbookViewId="0">
      <selection activeCell="D9" sqref="D9"/>
    </sheetView>
  </sheetViews>
  <sheetFormatPr baseColWidth="10" defaultColWidth="11.5" defaultRowHeight="13" x14ac:dyDescent="0.15"/>
  <cols>
    <col min="1" max="1" width="4.6640625" style="1" customWidth="1"/>
    <col min="2" max="2" width="5.6640625" style="23" customWidth="1"/>
    <col min="3" max="3" width="7.6640625" style="23" customWidth="1"/>
    <col min="4" max="5" width="21" style="1" customWidth="1"/>
    <col min="6" max="12" width="16.6640625" style="1" customWidth="1"/>
    <col min="13" max="13" width="28.6640625" style="1" customWidth="1"/>
    <col min="14" max="14" width="15.83203125" style="1" customWidth="1"/>
    <col min="15" max="16" width="4.33203125" style="1" hidden="1" customWidth="1"/>
    <col min="17" max="17" width="7" style="1" hidden="1" customWidth="1"/>
    <col min="18" max="18" width="7.5" style="1" hidden="1" customWidth="1"/>
    <col min="19" max="19" width="13.1640625" style="1" hidden="1" customWidth="1"/>
    <col min="20" max="20" width="16.1640625" style="1" hidden="1" customWidth="1"/>
    <col min="21" max="22" width="14" style="1" hidden="1" customWidth="1"/>
    <col min="23" max="23" width="24" style="1" hidden="1" customWidth="1"/>
    <col min="24" max="25" width="11.83203125" style="1" hidden="1" customWidth="1"/>
    <col min="26" max="26" width="35.83203125" style="1" hidden="1" customWidth="1"/>
    <col min="27" max="27" width="11.83203125" style="1" hidden="1" customWidth="1"/>
    <col min="28" max="28" width="12.5" style="1" hidden="1" customWidth="1"/>
    <col min="29" max="29" width="50.33203125" style="1" hidden="1" customWidth="1"/>
    <col min="30" max="30" width="42.6640625" style="1" hidden="1" customWidth="1"/>
    <col min="31" max="31" width="9.6640625" style="1" hidden="1" customWidth="1"/>
    <col min="32" max="32" width="11.83203125" style="1" hidden="1" customWidth="1"/>
    <col min="33" max="35" width="9.6640625" style="1" hidden="1" customWidth="1"/>
    <col min="36" max="36" width="8.1640625" style="1" hidden="1" customWidth="1"/>
    <col min="37" max="37" width="22.5" style="1" hidden="1" customWidth="1"/>
    <col min="38" max="42" width="4.6640625" style="1" customWidth="1"/>
    <col min="43" max="43" width="4.6640625" style="101" customWidth="1"/>
    <col min="44" max="57" width="4.6640625" style="1" customWidth="1"/>
    <col min="58" max="60" width="11.83203125" style="1" customWidth="1"/>
    <col min="61" max="61" width="3.5" style="1" customWidth="1"/>
    <col min="62" max="16384" width="11.5" style="1"/>
  </cols>
  <sheetData>
    <row r="1" spans="1:62" ht="33" x14ac:dyDescent="0.35">
      <c r="D1" s="24"/>
      <c r="E1" s="25" t="s">
        <v>0</v>
      </c>
      <c r="F1" s="326"/>
      <c r="G1" s="326"/>
      <c r="H1" s="326"/>
      <c r="I1" s="326"/>
      <c r="J1" s="326"/>
      <c r="K1" s="326"/>
      <c r="L1" s="326"/>
      <c r="M1" s="326"/>
      <c r="N1" s="26"/>
      <c r="O1" s="27"/>
      <c r="P1" s="27"/>
      <c r="Q1" s="27"/>
      <c r="R1" s="27"/>
      <c r="S1" s="27"/>
      <c r="T1" s="27"/>
      <c r="U1" s="27"/>
      <c r="V1" s="27"/>
      <c r="W1" s="27" t="str">
        <f>AL1</f>
        <v>Nationale_3</v>
      </c>
      <c r="X1" s="27"/>
      <c r="Y1" s="27"/>
      <c r="Z1" s="27"/>
      <c r="AA1" s="27" t="str">
        <f>VLOOKUP(W1,DATA!A1:B5,2,FALSE)</f>
        <v>N3</v>
      </c>
      <c r="AB1" s="27"/>
      <c r="AC1" s="27" t="e">
        <f>VLOOKUP(AL1&amp;AL3,DATA!AH:AU,14,FALSE)</f>
        <v>#N/A</v>
      </c>
      <c r="AD1" s="27"/>
      <c r="AE1" s="27"/>
      <c r="AF1" s="27"/>
      <c r="AG1" s="27"/>
      <c r="AH1" s="27"/>
      <c r="AI1" s="27"/>
      <c r="AJ1" s="9" t="str">
        <f>VLOOKUP(AL1,DATA!A:E,5,FALSE)</f>
        <v>RV_N3</v>
      </c>
      <c r="AK1" s="28" t="str">
        <f>VLOOKUP(AL1,DATA!A1:C5,3,FALSE)</f>
        <v>Engagt_N3</v>
      </c>
      <c r="AL1" s="327" t="s">
        <v>58</v>
      </c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/>
      <c r="BI1" s="24"/>
    </row>
    <row r="2" spans="1:62" ht="27" customHeight="1" x14ac:dyDescent="0.35">
      <c r="D2" s="24"/>
      <c r="E2" s="29" t="s">
        <v>1</v>
      </c>
      <c r="F2" s="328"/>
      <c r="G2" s="328"/>
      <c r="H2" s="328"/>
      <c r="I2" s="328"/>
      <c r="J2" s="328"/>
      <c r="K2" s="328"/>
      <c r="L2" s="328"/>
      <c r="M2" s="328"/>
      <c r="W2" s="1" t="e">
        <f>VLOOKUP(AL1&amp;AL3,DATA!AH:AT,13,FALSE)</f>
        <v>#N/A</v>
      </c>
      <c r="X2" s="1" t="s">
        <v>2</v>
      </c>
      <c r="Y2" s="1" t="s">
        <v>3</v>
      </c>
      <c r="Z2" s="1" t="s">
        <v>4</v>
      </c>
      <c r="AA2" s="1" t="s">
        <v>5</v>
      </c>
      <c r="AB2" s="1" t="s">
        <v>6</v>
      </c>
      <c r="AC2" s="1" t="s">
        <v>7</v>
      </c>
      <c r="AD2" s="1" t="s">
        <v>8</v>
      </c>
      <c r="AE2" s="1" t="s">
        <v>9</v>
      </c>
      <c r="AF2" s="1" t="s">
        <v>10</v>
      </c>
      <c r="AG2" s="1" t="s">
        <v>11</v>
      </c>
      <c r="AJ2" s="9" t="str">
        <f>VLOOKUP(AL1,DATA!A:F,6,FALSE)</f>
        <v>RH_N3</v>
      </c>
      <c r="AK2" s="30" t="str">
        <f>VLOOKUP(AL1,DATA!A1:D5,4,FALSE)</f>
        <v>Rattr_N3</v>
      </c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24"/>
    </row>
    <row r="3" spans="1:62" ht="27" customHeight="1" x14ac:dyDescent="0.35">
      <c r="D3" s="24"/>
      <c r="E3" s="29" t="s">
        <v>12</v>
      </c>
      <c r="F3" s="328"/>
      <c r="G3" s="328"/>
      <c r="H3" s="328"/>
      <c r="I3" s="328"/>
      <c r="J3" s="328"/>
      <c r="K3" s="328"/>
      <c r="L3" s="328"/>
      <c r="M3" s="328"/>
      <c r="N3" s="26"/>
      <c r="O3" s="24"/>
      <c r="P3" s="24"/>
      <c r="Q3" s="24"/>
      <c r="R3" s="24"/>
      <c r="S3" s="24"/>
      <c r="T3" s="24"/>
      <c r="U3" s="24"/>
      <c r="V3" s="24"/>
      <c r="W3" s="24"/>
      <c r="X3" s="24" t="str">
        <f>VLOOKUP($AL$1,DATA!$A$2:$X$5,5,FALSE)</f>
        <v>RV_N3</v>
      </c>
      <c r="Y3" s="24" t="str">
        <f>VLOOKUP($AL$1,DATA!$A$2:$X$5,6,FALSE)</f>
        <v>RH_N3</v>
      </c>
      <c r="Z3" s="24" t="str">
        <f>VLOOKUP($AL$1,DATA!$A$2:$X$5,7,FALSE)</f>
        <v xml:space="preserve">3 roulers: 2 vert. et 1 horiz. </v>
      </c>
      <c r="AA3" s="24">
        <f>VLOOKUP($AL$1,DATA!$A$2:$X$5,8,FALSE)</f>
        <v>3</v>
      </c>
      <c r="AB3" s="24" t="str">
        <f>VLOOKUP($AL$1,DATA!$A$2:$X$5,9,FALSE)</f>
        <v>MGV_N3</v>
      </c>
      <c r="AC3" s="24" t="str">
        <f>VLOOKUP($AL$1,DATA!$A$2:$X$5,10,FALSE)</f>
        <v>MGH_N3</v>
      </c>
      <c r="AD3" s="24" t="str">
        <f>VLOOKUP($AL$1,DATA!$A$2:$X$5,11,FALSE)</f>
        <v xml:space="preserve">3 maniements: 2 vert. et 1 horiz. </v>
      </c>
      <c r="AE3" s="24">
        <f>VLOOKUP($AL$1,DATA!$A$2:$X$5,12,FALSE)</f>
        <v>3</v>
      </c>
      <c r="AF3" s="24" t="str">
        <f>VLOOKUP($AL$1,DATA!$A$2:$X$5,13,FALSE)</f>
        <v>CGS</v>
      </c>
      <c r="AG3" s="24" t="str">
        <f>VLOOKUP($AL$1,DATA!$A$2:$X$5,14,FALSE)</f>
        <v>x</v>
      </c>
      <c r="AH3" s="24"/>
      <c r="AI3" s="24"/>
      <c r="AJ3" s="9" t="str">
        <f>VLOOKUP(AL1,DATA!A:I,9,FALSE)</f>
        <v>MGV_N3</v>
      </c>
      <c r="AK3" s="24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24"/>
    </row>
    <row r="4" spans="1:62" ht="24" customHeight="1" thickBot="1" x14ac:dyDescent="0.25">
      <c r="D4" s="24"/>
      <c r="N4" s="24"/>
      <c r="O4" s="24"/>
      <c r="P4" s="24"/>
      <c r="Q4" s="24" t="str">
        <f>IF(OR(AL3="Masculin Poussin",AL3="Poussine"),"x","h")</f>
        <v>h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9" t="str">
        <f>VLOOKUP(AL1,DATA!A:J,10,FALSE)</f>
        <v>MGH_N3</v>
      </c>
      <c r="AK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I4" s="24"/>
    </row>
    <row r="5" spans="1:62" ht="14" thickBot="1" x14ac:dyDescent="0.2"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1" t="s">
        <v>13</v>
      </c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3"/>
    </row>
    <row r="6" spans="1:62" ht="30" customHeight="1" x14ac:dyDescent="0.15">
      <c r="B6" s="334" t="s">
        <v>1108</v>
      </c>
      <c r="C6" s="335"/>
      <c r="D6" s="340" t="s">
        <v>14</v>
      </c>
      <c r="E6" s="341"/>
      <c r="F6" s="334" t="s">
        <v>15</v>
      </c>
      <c r="G6" s="344"/>
      <c r="H6" s="344"/>
      <c r="I6" s="344"/>
      <c r="J6" s="344"/>
      <c r="K6" s="344"/>
      <c r="L6" s="335"/>
      <c r="M6" s="347" t="s">
        <v>16</v>
      </c>
      <c r="N6" s="349" t="s">
        <v>1107</v>
      </c>
      <c r="O6" s="352"/>
      <c r="P6" s="34"/>
      <c r="Q6" s="319" t="s">
        <v>17</v>
      </c>
      <c r="R6" s="319" t="s">
        <v>18</v>
      </c>
      <c r="S6" s="35"/>
      <c r="T6" s="319" t="s">
        <v>19</v>
      </c>
      <c r="U6" s="319" t="s">
        <v>20</v>
      </c>
      <c r="V6" s="319" t="s">
        <v>184</v>
      </c>
      <c r="W6" s="319" t="s">
        <v>21</v>
      </c>
      <c r="X6" s="319" t="s">
        <v>22</v>
      </c>
      <c r="Y6" s="319" t="s">
        <v>23</v>
      </c>
      <c r="Z6" s="319" t="s">
        <v>24</v>
      </c>
      <c r="AA6" s="319" t="s">
        <v>25</v>
      </c>
      <c r="AB6" s="319" t="s">
        <v>26</v>
      </c>
      <c r="AC6" s="319" t="s">
        <v>27</v>
      </c>
      <c r="AD6" s="319" t="s">
        <v>28</v>
      </c>
      <c r="AE6" s="319" t="s">
        <v>29</v>
      </c>
      <c r="AF6" s="319" t="s">
        <v>30</v>
      </c>
      <c r="AG6" s="319" t="s">
        <v>31</v>
      </c>
      <c r="AH6" s="319" t="s">
        <v>32</v>
      </c>
      <c r="AI6" s="319" t="s">
        <v>33</v>
      </c>
      <c r="AJ6" s="35"/>
      <c r="AK6" s="35"/>
      <c r="AL6" s="316" t="s">
        <v>34</v>
      </c>
      <c r="AM6" s="318" t="s">
        <v>35</v>
      </c>
      <c r="AN6" s="318" t="s">
        <v>36</v>
      </c>
      <c r="AO6" s="318" t="s">
        <v>37</v>
      </c>
      <c r="AP6" s="306" t="s">
        <v>352</v>
      </c>
      <c r="AQ6" s="306" t="s">
        <v>353</v>
      </c>
      <c r="AR6" s="306" t="s">
        <v>355</v>
      </c>
      <c r="AS6" s="308" t="s">
        <v>356</v>
      </c>
      <c r="AT6" s="310" t="s">
        <v>364</v>
      </c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2"/>
      <c r="BF6" s="313" t="s">
        <v>349</v>
      </c>
      <c r="BG6" s="313" t="s">
        <v>350</v>
      </c>
      <c r="BH6" s="313" t="s">
        <v>1107</v>
      </c>
    </row>
    <row r="7" spans="1:62" ht="34.5" customHeight="1" x14ac:dyDescent="0.25">
      <c r="B7" s="336"/>
      <c r="C7" s="337"/>
      <c r="D7" s="342"/>
      <c r="E7" s="343"/>
      <c r="F7" s="336"/>
      <c r="G7" s="345"/>
      <c r="H7" s="345"/>
      <c r="I7" s="345"/>
      <c r="J7" s="345"/>
      <c r="K7" s="345"/>
      <c r="L7" s="337"/>
      <c r="M7" s="348"/>
      <c r="N7" s="350"/>
      <c r="O7" s="352"/>
      <c r="P7" s="34"/>
      <c r="Q7" s="319"/>
      <c r="R7" s="319"/>
      <c r="S7" s="35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5"/>
      <c r="AK7" s="35"/>
      <c r="AL7" s="317"/>
      <c r="AM7" s="307"/>
      <c r="AN7" s="307"/>
      <c r="AO7" s="307"/>
      <c r="AP7" s="307"/>
      <c r="AQ7" s="307"/>
      <c r="AR7" s="307"/>
      <c r="AS7" s="309"/>
      <c r="AT7" s="36" t="s">
        <v>6</v>
      </c>
      <c r="AU7" s="37" t="s">
        <v>357</v>
      </c>
      <c r="AV7" s="37" t="s">
        <v>358</v>
      </c>
      <c r="AW7" s="37" t="s">
        <v>359</v>
      </c>
      <c r="AX7" s="37" t="s">
        <v>360</v>
      </c>
      <c r="AY7" s="37" t="s">
        <v>361</v>
      </c>
      <c r="AZ7" s="37" t="s">
        <v>362</v>
      </c>
      <c r="BA7" s="37" t="s">
        <v>5</v>
      </c>
      <c r="BB7" s="37" t="s">
        <v>10</v>
      </c>
      <c r="BC7" s="37" t="s">
        <v>363</v>
      </c>
      <c r="BD7" s="37" t="s">
        <v>8</v>
      </c>
      <c r="BE7" s="38" t="s">
        <v>7</v>
      </c>
      <c r="BF7" s="314"/>
      <c r="BG7" s="314"/>
      <c r="BH7" s="314"/>
      <c r="BJ7" s="39"/>
    </row>
    <row r="8" spans="1:62" ht="42" customHeight="1" thickBot="1" x14ac:dyDescent="0.3">
      <c r="B8" s="338"/>
      <c r="C8" s="339"/>
      <c r="D8" s="353" t="str">
        <f>IF((SUM(T9:T28)-COUNTIF(D9:E28,"EXT MD"))=0,"","DOUBLON ENGAGEMENT")</f>
        <v/>
      </c>
      <c r="E8" s="354"/>
      <c r="F8" s="338"/>
      <c r="G8" s="346"/>
      <c r="H8" s="346"/>
      <c r="I8" s="346"/>
      <c r="J8" s="346"/>
      <c r="K8" s="346"/>
      <c r="L8" s="339"/>
      <c r="M8" s="40" t="str">
        <f>IF(SUM(U9:U28)=0,"","DOUBLON RATTRAPAGE")</f>
        <v/>
      </c>
      <c r="N8" s="351"/>
      <c r="O8" s="352"/>
      <c r="P8" s="34"/>
      <c r="Q8" s="319"/>
      <c r="R8" s="319"/>
      <c r="S8" s="35" t="s">
        <v>180</v>
      </c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5" t="s">
        <v>40</v>
      </c>
      <c r="AK8" s="35"/>
      <c r="AL8" s="41" t="s">
        <v>351</v>
      </c>
      <c r="AM8" s="42" t="s">
        <v>41</v>
      </c>
      <c r="AN8" s="42" t="s">
        <v>42</v>
      </c>
      <c r="AO8" s="42" t="s">
        <v>43</v>
      </c>
      <c r="AP8" s="42">
        <v>-2</v>
      </c>
      <c r="AQ8" s="42" t="s">
        <v>354</v>
      </c>
      <c r="AR8" s="42" t="s">
        <v>44</v>
      </c>
      <c r="AS8" s="43" t="s">
        <v>44</v>
      </c>
      <c r="AT8" s="44" t="s">
        <v>38</v>
      </c>
      <c r="AU8" s="45" t="s">
        <v>38</v>
      </c>
      <c r="AV8" s="45" t="s">
        <v>38</v>
      </c>
      <c r="AW8" s="45" t="s">
        <v>38</v>
      </c>
      <c r="AX8" s="45" t="s">
        <v>38</v>
      </c>
      <c r="AY8" s="45" t="s">
        <v>38</v>
      </c>
      <c r="AZ8" s="45" t="s">
        <v>38</v>
      </c>
      <c r="BA8" s="45" t="s">
        <v>38</v>
      </c>
      <c r="BB8" s="45" t="s">
        <v>38</v>
      </c>
      <c r="BC8" s="45" t="s">
        <v>38</v>
      </c>
      <c r="BD8" s="45" t="s">
        <v>38</v>
      </c>
      <c r="BE8" s="46" t="s">
        <v>39</v>
      </c>
      <c r="BF8" s="315"/>
      <c r="BG8" s="315"/>
      <c r="BH8" s="315"/>
      <c r="BJ8" s="39"/>
    </row>
    <row r="9" spans="1:62" ht="97" customHeight="1" x14ac:dyDescent="0.15">
      <c r="B9" s="285" t="str">
        <f>IFERROR(VLOOKUP(AL1&amp;AL3,DATA!AH:AN,2,FALSE),"SAISIR FILIERE ET CATEGORIE")</f>
        <v>SAISIR FILIERE ET CATEGORIE</v>
      </c>
      <c r="C9" s="47" t="s">
        <v>45</v>
      </c>
      <c r="D9" s="140"/>
      <c r="E9" s="141"/>
      <c r="F9" s="171"/>
      <c r="G9" s="172"/>
      <c r="H9" s="172"/>
      <c r="I9" s="172"/>
      <c r="J9" s="173"/>
      <c r="K9" s="172"/>
      <c r="L9" s="174"/>
      <c r="M9" s="143"/>
      <c r="N9" s="287">
        <f>SUM(D10:L10,M10)</f>
        <v>0</v>
      </c>
      <c r="O9" s="352"/>
      <c r="P9" s="34" t="str">
        <f>M9&amp;Q9</f>
        <v>0</v>
      </c>
      <c r="Q9" s="34">
        <f>IFERROR(VLOOKUP($D9,DATA!$BE:$BH,3,FALSE),0)+IFERROR(VLOOKUP($E9,DATA!$BE:$BH,3,FALSE),0)</f>
        <v>0</v>
      </c>
      <c r="R9" s="34">
        <f>IFERROR(VLOOKUP($D9,DATA!$BE:$BH,4,FALSE),0)+IFERROR(VLOOKUP($E9,DATA!$BE:$BH,4,FALSE),0)</f>
        <v>0</v>
      </c>
      <c r="S9" s="34" t="str">
        <f>D9&amp;E9</f>
        <v/>
      </c>
      <c r="T9" s="34">
        <f>IF(OR(ISBLANK(D9),D9="Extérieur MD"),0,COUNTIF(S:S,S9)-1)</f>
        <v>0</v>
      </c>
      <c r="U9" s="34">
        <f>IF(OR(M9="Main droite",ISBLANK(M9)),0,COUNTIF($P$9:$P$28,P9)-1)</f>
        <v>0</v>
      </c>
      <c r="V9" s="34">
        <f>IF(N9=0,0,IF(N9&lt;=$W$2,0,1))</f>
        <v>0</v>
      </c>
      <c r="W9" s="48">
        <f>IFERROR(VLOOKUP(F9,DATA!$BK:$BL,2,FALSE),0)</f>
        <v>0</v>
      </c>
      <c r="X9" s="48">
        <f>IFERROR(VLOOKUP(G9,DATA!$BK:$BL,2,FALSE),0)</f>
        <v>0</v>
      </c>
      <c r="Y9" s="48">
        <f>IFERROR(VLOOKUP(#REF!,DATA!$BK:$BL,2,FALSE),0)</f>
        <v>0</v>
      </c>
      <c r="Z9" s="48">
        <f>IFERROR(VLOOKUP(H9,DATA!$BK:$BL,2,FALSE),0)</f>
        <v>0</v>
      </c>
      <c r="AA9" s="48">
        <f>IFERROR(VLOOKUP(I9,DATA!$BK:$BL,2,FALSE),0)</f>
        <v>0</v>
      </c>
      <c r="AB9" s="48">
        <f>IFERROR(VLOOKUP(J9,DATA!$BK:$BL,2,FALSE),0)</f>
        <v>0</v>
      </c>
      <c r="AC9" s="48">
        <f>IFERROR(VLOOKUP(K9,DATA!$BK:$BL,2,FALSE),0)</f>
        <v>0</v>
      </c>
      <c r="AD9" s="48">
        <f>IFERROR(VLOOKUP(L9,DATA!$BK:$BL,2,FALSE),0)</f>
        <v>0</v>
      </c>
      <c r="AE9" s="49">
        <f>IF(AND(COUNTIF($W9:$AD9,"P")&gt;0,COUNTIF($W9:$AD9,"SP")=0,COUNTIF($W9:$AD9,"PD")=0,COUNTIF($W9:$AD9,"DSP")=0,COUNTIF($W9:$AD9,"MSPD")=0),"PIVOT",0)</f>
        <v>0</v>
      </c>
      <c r="AF9" s="50">
        <f>IF(AND(COUNTIF($W9:$AD9,"PD")=0,(OR(COUNTIF($W9:$AD9,"SP")&gt;=1,COUNTIF($W9:$AD9,"DSP")&gt;=1,COUNTIF($W9:$AD9,"MSPD")&gt;=1))),"SUR PLACE",0)</f>
        <v>0</v>
      </c>
      <c r="AG9" s="50">
        <f>IF(OR(COUNTIF($W9:$AD9,"PD")=1,COUNTIF($W9:$AD9,"MSPD")=1),"PETIT DEPLACEMENT",0)</f>
        <v>0</v>
      </c>
      <c r="AH9" s="49">
        <f>IF((COUNTIF($W9:$AD9,"PD")+COUNTIF($W9:$AD9,"MSPD"))&gt;1,"GRAND DEPLACEMENT",0)</f>
        <v>0</v>
      </c>
      <c r="AI9" s="49">
        <f>IF(AND(AG9=0,AH9=0),0,"DEPLACEMENT")</f>
        <v>0</v>
      </c>
      <c r="AJ9" s="49" t="e">
        <f>IF(VLOOKUP(B9,DATA!AW:AX,2,FALSE)=1,1,0)</f>
        <v>#N/A</v>
      </c>
      <c r="AK9" s="49">
        <f>IF(N9=0,0,IF(AJ9=1,IF(N9&lt;&gt;0,0,1),IF(OR(B9=AE9,B9=AF9,B9=AG9,B9=AH9,B9=AI9),0,1)))</f>
        <v>0</v>
      </c>
      <c r="AL9" s="289" t="str">
        <f>IF(V9=0,"","Valeur du lancé dépasse le plafond de la catégorie")</f>
        <v/>
      </c>
      <c r="AM9" s="290"/>
      <c r="AN9" s="290"/>
      <c r="AO9" s="290" t="str">
        <f>IF(T9=0,IF(U9=0,"","Doublon rattrapage"),IF(U9=0,"Doublon engagement","Doublon engagement et rattrapage"))</f>
        <v/>
      </c>
      <c r="AP9" s="290"/>
      <c r="AQ9" s="290"/>
      <c r="AR9" s="290" t="str">
        <f>IF(AK9=1,"Nature du lancé non conforme à la nature attendue","")</f>
        <v/>
      </c>
      <c r="AS9" s="293"/>
      <c r="AT9" s="51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3"/>
      <c r="BF9" s="54"/>
      <c r="BG9" s="55"/>
      <c r="BH9" s="56"/>
    </row>
    <row r="10" spans="1:62" ht="23" customHeight="1" thickBot="1" x14ac:dyDescent="0.2">
      <c r="B10" s="286"/>
      <c r="C10" s="57" t="s">
        <v>46</v>
      </c>
      <c r="D10" s="144">
        <f>SUMIFS(Engagt_valeur,Engagt_filière,$AA$1,Engagt_nom,'FPI MODELE 2025'!D9)</f>
        <v>0</v>
      </c>
      <c r="E10" s="145">
        <f>SUMIFS(Engagt_valeur,Engagt_filière,$AA$1,Engagt_nom,'FPI MODELE 2025'!E9)</f>
        <v>0</v>
      </c>
      <c r="F10" s="146">
        <f t="shared" ref="F10:L10" si="0">IF($AA$1="N1",SUMIFS(Elements_valeurs_N1,Elements_nom,F9),IF($AA$1="N2",SUMIFS(Elements_valeurs_N2,Elements_nom,F9),SUMIFS(Elements_valeurs_N3,Elements_nom,F9)))</f>
        <v>0</v>
      </c>
      <c r="G10" s="142"/>
      <c r="H10" s="142">
        <f t="shared" si="0"/>
        <v>0</v>
      </c>
      <c r="I10" s="142">
        <f t="shared" si="0"/>
        <v>0</v>
      </c>
      <c r="J10" s="142">
        <f t="shared" si="0"/>
        <v>0</v>
      </c>
      <c r="K10" s="142">
        <f t="shared" si="0"/>
        <v>0</v>
      </c>
      <c r="L10" s="147">
        <f t="shared" si="0"/>
        <v>0</v>
      </c>
      <c r="M10" s="148">
        <f>IF(Q9=0,SUMIFS(Rattr_valeur_V,Rattr_nom,M9,Rattr_filière,$AA$1),SUMIFS(Rattr_valeur_H,Rattr_nom,M9,Rattr_filière,$AA$1))</f>
        <v>0</v>
      </c>
      <c r="N10" s="288"/>
      <c r="O10" s="352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291"/>
      <c r="AM10" s="292"/>
      <c r="AN10" s="292"/>
      <c r="AO10" s="292"/>
      <c r="AP10" s="292"/>
      <c r="AQ10" s="292"/>
      <c r="AR10" s="292"/>
      <c r="AS10" s="294"/>
      <c r="AT10" s="58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60"/>
      <c r="BF10" s="61"/>
      <c r="BG10" s="62"/>
      <c r="BH10" s="63"/>
    </row>
    <row r="11" spans="1:62" ht="23" customHeight="1" x14ac:dyDescent="0.15">
      <c r="A11" s="295" t="s">
        <v>47</v>
      </c>
      <c r="B11" s="286"/>
      <c r="C11" s="64" t="s">
        <v>45</v>
      </c>
      <c r="D11" s="297"/>
      <c r="E11" s="298"/>
      <c r="F11" s="297"/>
      <c r="G11" s="299"/>
      <c r="H11" s="299"/>
      <c r="I11" s="299"/>
      <c r="J11" s="299"/>
      <c r="K11" s="299"/>
      <c r="L11" s="298"/>
      <c r="M11" s="65"/>
      <c r="N11" s="300"/>
      <c r="O11" s="352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280"/>
      <c r="AM11" s="175"/>
      <c r="AN11" s="66"/>
      <c r="AO11" s="175"/>
      <c r="AP11" s="175"/>
      <c r="AQ11" s="175"/>
      <c r="AR11" s="175"/>
      <c r="AS11" s="269"/>
      <c r="AT11" s="179" t="str">
        <f>IF(OR($AA$1="N2",$AA$1="N3"),VLOOKUP(AT$7,DATA!$M:$N,2,FALSE),"")</f>
        <v xml:space="preserve"> </v>
      </c>
      <c r="AU11" s="177" t="str">
        <f>IF(OR($AA$1="N2",$AA$1="N3"),VLOOKUP(AU$7,DATA!$M:$N,2,FALSE),"")</f>
        <v>x</v>
      </c>
      <c r="AV11" s="177" t="str">
        <f>IF(OR($AA$1="N2",$AA$1="N3"),VLOOKUP(AV$7,DATA!$M:$N,2,FALSE),"")</f>
        <v>x</v>
      </c>
      <c r="AW11" s="177" t="str">
        <f>IF(OR($AA$1="N2",$AA$1="N3"),VLOOKUP(AW$7,DATA!$M:$N,2,FALSE),"")</f>
        <v xml:space="preserve"> </v>
      </c>
      <c r="AX11" s="177" t="str">
        <f>IF(OR($AA$1="N2",$AA$1="N3"),VLOOKUP(AX$7,DATA!$M:$N,2,FALSE),"")</f>
        <v xml:space="preserve"> </v>
      </c>
      <c r="AY11" s="177" t="str">
        <f>IF(OR($AA$1="N2",$AA$1="N3"),VLOOKUP(AY$7,DATA!$M:$N,2,FALSE),"")</f>
        <v>x</v>
      </c>
      <c r="AZ11" s="177" t="str">
        <f>IF(OR($AA$1="N2",$AA$1="N3"),VLOOKUP(AZ$7,DATA!$M:$N,2,FALSE),"")</f>
        <v xml:space="preserve"> </v>
      </c>
      <c r="BA11" s="177" t="str">
        <f>IF(OR($AA$1="N2",$AA$1="N3"),VLOOKUP(BA$7,DATA!$M:$N,2,FALSE),"")</f>
        <v>x</v>
      </c>
      <c r="BB11" s="177" t="str">
        <f>IF(OR($AA$1="N2",$AA$1="N3"),VLOOKUP(BB$7,DATA!$M:$N,2,FALSE),"")</f>
        <v>x</v>
      </c>
      <c r="BC11" s="177" t="str">
        <f>IF(OR($AA$1="N2",$AA$1="N3"),VLOOKUP(BC$7,DATA!$M:$N,2,FALSE),"")</f>
        <v>x</v>
      </c>
      <c r="BD11" s="177" t="str">
        <f>IF(OR($AA$1="N2",$AA$1="N3"),VLOOKUP(BD$7,DATA!$M:$N,2,FALSE),"")</f>
        <v>x</v>
      </c>
      <c r="BE11" s="181" t="str">
        <f>IF(OR($AA$1="N2",$AA$1="N3"),VLOOKUP(BE$7,DATA!$M:$N,2,FALSE),"")</f>
        <v>x</v>
      </c>
      <c r="BF11" s="67"/>
      <c r="BG11" s="66"/>
      <c r="BH11" s="269"/>
    </row>
    <row r="12" spans="1:62" ht="23" customHeight="1" thickBot="1" x14ac:dyDescent="0.2">
      <c r="A12" s="296"/>
      <c r="B12" s="305"/>
      <c r="C12" s="68" t="s">
        <v>46</v>
      </c>
      <c r="D12" s="69"/>
      <c r="E12" s="70"/>
      <c r="F12" s="69"/>
      <c r="G12" s="71"/>
      <c r="H12" s="71"/>
      <c r="I12" s="71"/>
      <c r="J12" s="71"/>
      <c r="K12" s="71"/>
      <c r="L12" s="70"/>
      <c r="M12" s="72"/>
      <c r="N12" s="303"/>
      <c r="O12" s="352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04"/>
      <c r="AM12" s="176"/>
      <c r="AN12" s="73"/>
      <c r="AO12" s="176"/>
      <c r="AP12" s="176"/>
      <c r="AQ12" s="176"/>
      <c r="AR12" s="176"/>
      <c r="AS12" s="302"/>
      <c r="AT12" s="180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82"/>
      <c r="BF12" s="74"/>
      <c r="BG12" s="73"/>
      <c r="BH12" s="302"/>
    </row>
    <row r="13" spans="1:62" ht="98" customHeight="1" x14ac:dyDescent="0.15">
      <c r="A13" s="283"/>
      <c r="B13" s="285" t="str">
        <f>IFERROR(VLOOKUP(AL1&amp;AL3,DATA!AH:AN,3,FALSE),"SAISIR FILIERE ET CATEGORIE")</f>
        <v>SAISIR FILIERE ET CATEGORIE</v>
      </c>
      <c r="C13" s="47" t="s">
        <v>45</v>
      </c>
      <c r="D13" s="140"/>
      <c r="E13" s="141"/>
      <c r="F13" s="167"/>
      <c r="G13" s="165"/>
      <c r="H13" s="165"/>
      <c r="I13" s="165"/>
      <c r="J13" s="165"/>
      <c r="K13" s="165"/>
      <c r="L13" s="168"/>
      <c r="M13" s="143"/>
      <c r="N13" s="287">
        <f>SUM(D14:L14,M14)</f>
        <v>0</v>
      </c>
      <c r="O13" s="352"/>
      <c r="P13" s="34" t="str">
        <f>M13&amp;Q13</f>
        <v>0</v>
      </c>
      <c r="Q13" s="34">
        <f>IFERROR(VLOOKUP($D13,DATA!$BE:$BH,3,FALSE),0)+IFERROR(VLOOKUP($E13,DATA!$BE:$BH,3,FALSE),0)</f>
        <v>0</v>
      </c>
      <c r="R13" s="34">
        <f>IFERROR(VLOOKUP($D13,DATA!$BE:$BH,4,FALSE),0)+IFERROR(VLOOKUP($E13,DATA!$BE:$BH,4,FALSE),0)</f>
        <v>0</v>
      </c>
      <c r="S13" s="34" t="str">
        <f>D13&amp;E13</f>
        <v/>
      </c>
      <c r="T13" s="34">
        <f>IF(OR(ISBLANK(D13),D13="Extérieur MD"),0,COUNTIF(S:S,S13)-1)</f>
        <v>0</v>
      </c>
      <c r="U13" s="34">
        <f>IF(OR(M13="Main droite",ISBLANK(M13)),0,COUNTIF($P$9:$P$28,P13)-1)</f>
        <v>0</v>
      </c>
      <c r="V13" s="34">
        <f>IF(N13=0,0,IF(N13&lt;=$W$2,0,1))</f>
        <v>0</v>
      </c>
      <c r="W13" s="48">
        <f>IFERROR(VLOOKUP(F13,DATA!$BK:$BL,2,FALSE),0)</f>
        <v>0</v>
      </c>
      <c r="X13" s="48">
        <f>IFERROR(VLOOKUP(G13,DATA!$BK:$BL,2,FALSE),0)</f>
        <v>0</v>
      </c>
      <c r="Y13" s="48">
        <f>IFERROR(VLOOKUP(#REF!,DATA!$BK:$BL,2,FALSE),0)</f>
        <v>0</v>
      </c>
      <c r="Z13" s="48">
        <f>IFERROR(VLOOKUP(H13,DATA!$BK:$BL,2,FALSE),0)</f>
        <v>0</v>
      </c>
      <c r="AA13" s="48">
        <f>IFERROR(VLOOKUP(I13,DATA!$BK:$BL,2,FALSE),0)</f>
        <v>0</v>
      </c>
      <c r="AB13" s="48">
        <f>IFERROR(VLOOKUP(J13,DATA!$BK:$BL,2,FALSE),0)</f>
        <v>0</v>
      </c>
      <c r="AC13" s="48">
        <f>IFERROR(VLOOKUP(K13,DATA!$BK:$BL,2,FALSE),0)</f>
        <v>0</v>
      </c>
      <c r="AD13" s="48">
        <f>IFERROR(VLOOKUP(L13,DATA!$BK:$BL,2,FALSE),0)</f>
        <v>0</v>
      </c>
      <c r="AE13" s="49">
        <f>IF(AND(COUNTIF($W13:$AD13,"P")&gt;0,COUNTIF($W13:$AD13,"SP")=0,COUNTIF($W13:$AD13,"PD")=0,COUNTIF($W13:$AD13,"DSP")=0,COUNTIF($W13:$AD13,"MSPD")=0),"PIVOT",0)</f>
        <v>0</v>
      </c>
      <c r="AF13" s="50">
        <f>IF(AND(COUNTIF($W13:$AD13,"PD")=0,(OR(COUNTIF($W13:$AD13,"SP")&gt;=1,COUNTIF($W13:$AD13,"DSP")&gt;=1,COUNTIF($W13:$AD13,"MSPD")&gt;=1))),"SUR PLACE",0)</f>
        <v>0</v>
      </c>
      <c r="AG13" s="50">
        <f>IF(OR(COUNTIF($W13:$AD13,"PD")=1,COUNTIF($W13:$AD13,"MSPD")=1),"PETIT DEPLACEMENT",0)</f>
        <v>0</v>
      </c>
      <c r="AH13" s="49">
        <f>IF((COUNTIF($W13:$AD13,"PD")+COUNTIF($W13:$AD13,"MSPD"))&gt;1,"GRAND DEPLACEMENT",0)</f>
        <v>0</v>
      </c>
      <c r="AI13" s="49">
        <f>IF(AND(AG13=0,AH13=0),0,"DEPLACEMENT")</f>
        <v>0</v>
      </c>
      <c r="AJ13" s="49" t="e">
        <f>IF(VLOOKUP(B13,DATA!AW:AX,2,FALSE)=1,1,0)</f>
        <v>#N/A</v>
      </c>
      <c r="AK13" s="49">
        <f>IF(N13=0,0,IF(AJ13=1,IF(N13&lt;&gt;0,0,1),IF(OR(B13=AE13,B13=AF13,B13=AG13,B13=AH13,B13=AI13),0,1)))</f>
        <v>0</v>
      </c>
      <c r="AL13" s="289" t="str">
        <f>IF(V13=0,"","Valeur du lancé dépasse le plafond de la catégorie")</f>
        <v/>
      </c>
      <c r="AM13" s="290"/>
      <c r="AN13" s="290"/>
      <c r="AO13" s="290" t="str">
        <f>IF(T13=0,IF(U13=0,"","Doublon rattrapage"),IF(U13=0,"Doublon engagement","Doublon engagement et rattrapage"))</f>
        <v/>
      </c>
      <c r="AP13" s="290"/>
      <c r="AQ13" s="290"/>
      <c r="AR13" s="290" t="str">
        <f>IF(AK13=1,"Nature du lancé non conforme à la nature attendue","")</f>
        <v/>
      </c>
      <c r="AS13" s="293"/>
      <c r="AT13" s="51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3"/>
      <c r="BF13" s="55"/>
      <c r="BG13" s="55"/>
      <c r="BH13" s="75"/>
    </row>
    <row r="14" spans="1:62" ht="23" customHeight="1" thickBot="1" x14ac:dyDescent="0.2">
      <c r="A14" s="284"/>
      <c r="B14" s="286"/>
      <c r="C14" s="57" t="s">
        <v>46</v>
      </c>
      <c r="D14" s="144">
        <f>SUMIFS(Engagt_valeur,Engagt_filière,$AA$1,Engagt_nom,'FPI MODELE 2025'!D13)</f>
        <v>0</v>
      </c>
      <c r="E14" s="145">
        <f>SUMIFS(Engagt_valeur,Engagt_filière,$AA$1,Engagt_nom,'FPI MODELE 2025'!E13)</f>
        <v>0</v>
      </c>
      <c r="F14" s="146">
        <f t="shared" ref="F14:L14" si="1">IF($AA$1="N1",SUMIFS(Elements_valeurs_N1,Elements_nom,F13),IF($AA$1="N2",SUMIFS(Elements_valeurs_N2,Elements_nom,F13),SUMIFS(Elements_valeurs_N3,Elements_nom,F13)))</f>
        <v>0</v>
      </c>
      <c r="G14" s="142">
        <f t="shared" si="1"/>
        <v>0</v>
      </c>
      <c r="H14" s="142">
        <f t="shared" si="1"/>
        <v>0</v>
      </c>
      <c r="I14" s="142">
        <f t="shared" si="1"/>
        <v>0</v>
      </c>
      <c r="J14" s="142">
        <f t="shared" si="1"/>
        <v>0</v>
      </c>
      <c r="K14" s="142">
        <f t="shared" si="1"/>
        <v>0</v>
      </c>
      <c r="L14" s="147">
        <f t="shared" si="1"/>
        <v>0</v>
      </c>
      <c r="M14" s="149">
        <f>IF(Q13=0,SUMIFS(Rattr_valeur_V,Rattr_nom,M13,Rattr_filière,$AA$1),SUMIFS(Rattr_valeur_H,Rattr_nom,M13,Rattr_filière,$AA$1))</f>
        <v>0</v>
      </c>
      <c r="N14" s="288"/>
      <c r="O14" s="352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291"/>
      <c r="AM14" s="292"/>
      <c r="AN14" s="292"/>
      <c r="AO14" s="292"/>
      <c r="AP14" s="292"/>
      <c r="AQ14" s="292"/>
      <c r="AR14" s="292"/>
      <c r="AS14" s="294"/>
      <c r="AT14" s="58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60"/>
      <c r="BF14" s="62"/>
      <c r="BG14" s="62"/>
      <c r="BH14" s="76"/>
    </row>
    <row r="15" spans="1:62" ht="23" customHeight="1" x14ac:dyDescent="0.15">
      <c r="A15" s="295" t="s">
        <v>47</v>
      </c>
      <c r="B15" s="286"/>
      <c r="C15" s="64" t="s">
        <v>45</v>
      </c>
      <c r="D15" s="297"/>
      <c r="E15" s="298"/>
      <c r="F15" s="297"/>
      <c r="G15" s="299"/>
      <c r="H15" s="299"/>
      <c r="I15" s="299"/>
      <c r="J15" s="299"/>
      <c r="K15" s="299"/>
      <c r="L15" s="298"/>
      <c r="M15" s="65"/>
      <c r="N15" s="300"/>
      <c r="O15" s="352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280"/>
      <c r="AM15" s="175"/>
      <c r="AN15" s="66"/>
      <c r="AO15" s="175"/>
      <c r="AP15" s="175"/>
      <c r="AQ15" s="175"/>
      <c r="AR15" s="175"/>
      <c r="AS15" s="269"/>
      <c r="AT15" s="179" t="str">
        <f>IF(OR($AA$1="N2",$AA$1="N3"),VLOOKUP(AT$7,DATA!$M:$N,2,FALSE),"")</f>
        <v xml:space="preserve"> </v>
      </c>
      <c r="AU15" s="177" t="str">
        <f>IF(OR($AA$1="N2",$AA$1="N3"),VLOOKUP(AU$7,DATA!$M:$N,2,FALSE),"")</f>
        <v>x</v>
      </c>
      <c r="AV15" s="177" t="str">
        <f>IF(OR($AA$1="N2",$AA$1="N3"),VLOOKUP(AV$7,DATA!$M:$N,2,FALSE),"")</f>
        <v>x</v>
      </c>
      <c r="AW15" s="177" t="str">
        <f>IF(OR($AA$1="N2",$AA$1="N3"),VLOOKUP(AW$7,DATA!$M:$N,2,FALSE),"")</f>
        <v xml:space="preserve"> </v>
      </c>
      <c r="AX15" s="177" t="str">
        <f>IF(OR($AA$1="N2",$AA$1="N3"),VLOOKUP(AX$7,DATA!$M:$N,2,FALSE),"")</f>
        <v xml:space="preserve"> </v>
      </c>
      <c r="AY15" s="177" t="str">
        <f>IF(OR($AA$1="N2",$AA$1="N3"),VLOOKUP(AY$7,DATA!$M:$N,2,FALSE),"")</f>
        <v>x</v>
      </c>
      <c r="AZ15" s="177" t="str">
        <f>IF(OR($AA$1="N2",$AA$1="N3"),VLOOKUP(AZ$7,DATA!$M:$N,2,FALSE),"")</f>
        <v xml:space="preserve"> </v>
      </c>
      <c r="BA15" s="177" t="str">
        <f>IF(OR($AA$1="N2",$AA$1="N3"),VLOOKUP(BA$7,DATA!$M:$N,2,FALSE),"")</f>
        <v>x</v>
      </c>
      <c r="BB15" s="177" t="str">
        <f>IF(OR($AA$1="N2",$AA$1="N3"),VLOOKUP(BB$7,DATA!$M:$N,2,FALSE),"")</f>
        <v>x</v>
      </c>
      <c r="BC15" s="177" t="str">
        <f>IF(OR($AA$1="N2",$AA$1="N3"),VLOOKUP(BC$7,DATA!$M:$N,2,FALSE),"")</f>
        <v>x</v>
      </c>
      <c r="BD15" s="177" t="str">
        <f>IF(OR($AA$1="N2",$AA$1="N3"),VLOOKUP(BD$7,DATA!$M:$N,2,FALSE),"")</f>
        <v>x</v>
      </c>
      <c r="BE15" s="181" t="str">
        <f>IF(OR($AA$1="N2",$AA$1="N3"),VLOOKUP(BE$7,DATA!$M:$N,2,FALSE),"")</f>
        <v>x</v>
      </c>
      <c r="BF15" s="66"/>
      <c r="BG15" s="66"/>
      <c r="BH15" s="269"/>
    </row>
    <row r="16" spans="1:62" ht="23" customHeight="1" thickBot="1" x14ac:dyDescent="0.2">
      <c r="A16" s="296"/>
      <c r="B16" s="305"/>
      <c r="C16" s="68" t="s">
        <v>46</v>
      </c>
      <c r="D16" s="69"/>
      <c r="E16" s="70"/>
      <c r="F16" s="69"/>
      <c r="G16" s="71"/>
      <c r="H16" s="71"/>
      <c r="I16" s="71"/>
      <c r="J16" s="71"/>
      <c r="K16" s="71"/>
      <c r="L16" s="70"/>
      <c r="M16" s="72"/>
      <c r="N16" s="303"/>
      <c r="O16" s="352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04"/>
      <c r="AM16" s="176"/>
      <c r="AN16" s="73"/>
      <c r="AO16" s="176"/>
      <c r="AP16" s="176"/>
      <c r="AQ16" s="176"/>
      <c r="AR16" s="176"/>
      <c r="AS16" s="302"/>
      <c r="AT16" s="180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82"/>
      <c r="BF16" s="73"/>
      <c r="BG16" s="73"/>
      <c r="BH16" s="302"/>
    </row>
    <row r="17" spans="1:93" ht="97" customHeight="1" x14ac:dyDescent="0.15">
      <c r="A17" s="283"/>
      <c r="B17" s="285" t="str">
        <f>IFERROR(VLOOKUP(AL1&amp;AL3,DATA!AH:AN,4,FALSE),"SAISIR FILIERE ET CATEGORIE")</f>
        <v>SAISIR FILIERE ET CATEGORIE</v>
      </c>
      <c r="C17" s="47" t="s">
        <v>45</v>
      </c>
      <c r="D17" s="140"/>
      <c r="E17" s="141"/>
      <c r="F17" s="167"/>
      <c r="G17" s="165"/>
      <c r="H17" s="165"/>
      <c r="I17" s="165"/>
      <c r="J17" s="165"/>
      <c r="K17" s="165"/>
      <c r="L17" s="168"/>
      <c r="M17" s="143"/>
      <c r="N17" s="287">
        <f>SUM(D18:L18,M18)</f>
        <v>0</v>
      </c>
      <c r="O17" s="352"/>
      <c r="P17" s="34" t="str">
        <f>M17&amp;Q17</f>
        <v>0</v>
      </c>
      <c r="Q17" s="34">
        <f>IFERROR(VLOOKUP($D17,DATA!$BE:$BH,3,FALSE),0)+IFERROR(VLOOKUP($E17,DATA!$BE:$BH,3,FALSE),0)</f>
        <v>0</v>
      </c>
      <c r="R17" s="34">
        <f>IFERROR(VLOOKUP($D17,DATA!$BE:$BH,4,FALSE),0)+IFERROR(VLOOKUP($E17,DATA!$BE:$BH,4,FALSE),0)</f>
        <v>0</v>
      </c>
      <c r="S17" s="34" t="str">
        <f>D17&amp;E17</f>
        <v/>
      </c>
      <c r="T17" s="34">
        <f>IF(OR(ISBLANK(D17),D17="Extérieur MD"),0,COUNTIF(S:S,S17)-1)</f>
        <v>0</v>
      </c>
      <c r="U17" s="34">
        <f>IF(OR(M17="Main droite",ISBLANK(M17)),0,COUNTIF($P$9:$P$28,P17)-1)</f>
        <v>0</v>
      </c>
      <c r="V17" s="34">
        <f>IF(N17=0,0,IF(N17&lt;=$W$2,0,1))</f>
        <v>0</v>
      </c>
      <c r="W17" s="48">
        <f>IFERROR(VLOOKUP(F17,DATA!$BK:$BL,2,FALSE),0)</f>
        <v>0</v>
      </c>
      <c r="X17" s="48">
        <f>IFERROR(VLOOKUP(G17,DATA!$BK:$BL,2,FALSE),0)</f>
        <v>0</v>
      </c>
      <c r="Y17" s="48">
        <f>IFERROR(VLOOKUP(#REF!,DATA!$BK:$BL,2,FALSE),0)</f>
        <v>0</v>
      </c>
      <c r="Z17" s="48">
        <f>IFERROR(VLOOKUP(H17,DATA!$BK:$BL,2,FALSE),0)</f>
        <v>0</v>
      </c>
      <c r="AA17" s="48">
        <f>IFERROR(VLOOKUP(I17,DATA!$BK:$BL,2,FALSE),0)</f>
        <v>0</v>
      </c>
      <c r="AB17" s="48">
        <f>IFERROR(VLOOKUP(J17,DATA!$BK:$BL,2,FALSE),0)</f>
        <v>0</v>
      </c>
      <c r="AC17" s="48">
        <f>IFERROR(VLOOKUP(K17,DATA!$BK:$BL,2,FALSE),0)</f>
        <v>0</v>
      </c>
      <c r="AD17" s="48">
        <f>IFERROR(VLOOKUP(L17,DATA!$BK:$BL,2,FALSE),0)</f>
        <v>0</v>
      </c>
      <c r="AE17" s="49">
        <f>IF(AND(COUNTIF($W17:$AD17,"P")&gt;0,COUNTIF($W17:$AD17,"SP")=0,COUNTIF($W17:$AD17,"PD")=0,COUNTIF($W17:$AD17,"DSP")=0,COUNTIF($W17:$AD17,"MSPD")=0),"PIVOT",0)</f>
        <v>0</v>
      </c>
      <c r="AF17" s="50">
        <f>IF(AND(COUNTIF($W17:$AD17,"PD")=0,(OR(COUNTIF($W17:$AD17,"SP")&gt;=1,COUNTIF($W17:$AD17,"DSP")&gt;=1,COUNTIF($W17:$AD17,"MSPD")&gt;=1))),"SUR PLACE",0)</f>
        <v>0</v>
      </c>
      <c r="AG17" s="50">
        <f>IF(OR(COUNTIF($W17:$AD17,"PD")=1,COUNTIF($W17:$AD17,"MSPD")=1),"PETIT DEPLACEMENT",0)</f>
        <v>0</v>
      </c>
      <c r="AH17" s="49">
        <f>IF((COUNTIF($W17:$AD17,"PD")+COUNTIF($W17:$AD17,"MSPD"))&gt;1,"GRAND DEPLACEMENT",0)</f>
        <v>0</v>
      </c>
      <c r="AI17" s="49">
        <f>IF(AND(AG17=0,AH17=0),0,"DEPLACEMENT")</f>
        <v>0</v>
      </c>
      <c r="AJ17" s="49" t="e">
        <f>IF(VLOOKUP(B17,DATA!AW:AX,2,FALSE)=1,1,0)</f>
        <v>#N/A</v>
      </c>
      <c r="AK17" s="49">
        <f>IF(N17=0,0,IF(AJ17=1,IF(N17&lt;&gt;0,0,1),IF(OR(B17=AE17,B17=AF17,B17=AG17,B17=AH17,B17=AI17),0,1)))</f>
        <v>0</v>
      </c>
      <c r="AL17" s="289" t="str">
        <f>IF(V17=0,"","Valeur du lancé dépasse le plafond de la catégorie")</f>
        <v/>
      </c>
      <c r="AM17" s="290"/>
      <c r="AN17" s="290"/>
      <c r="AO17" s="290" t="str">
        <f>IF(T17=0,IF(U17=0,"","Doublon rattrapage"),IF(U17=0,"Doublon engagement","Doublon engagement et rattrapage"))</f>
        <v/>
      </c>
      <c r="AP17" s="290"/>
      <c r="AQ17" s="290"/>
      <c r="AR17" s="290" t="str">
        <f>IF(AK17=1,"Nature du lancé non conforme à la nature attendue","")</f>
        <v/>
      </c>
      <c r="AS17" s="293"/>
      <c r="AT17" s="51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3"/>
      <c r="BF17" s="55"/>
      <c r="BG17" s="55"/>
      <c r="BH17" s="75"/>
    </row>
    <row r="18" spans="1:93" ht="23" customHeight="1" thickBot="1" x14ac:dyDescent="0.2">
      <c r="A18" s="284"/>
      <c r="B18" s="286"/>
      <c r="C18" s="57" t="s">
        <v>46</v>
      </c>
      <c r="D18" s="144">
        <f>SUMIFS(Engagt_valeur,Engagt_filière,$AA$1,Engagt_nom,'FPI MODELE 2025'!D17)</f>
        <v>0</v>
      </c>
      <c r="E18" s="145">
        <f>SUMIFS(Engagt_valeur,Engagt_filière,$AA$1,Engagt_nom,'FPI MODELE 2025'!E17)</f>
        <v>0</v>
      </c>
      <c r="F18" s="146">
        <f t="shared" ref="F18:L18" si="2">IF($AA$1="N1",SUMIFS(Elements_valeurs_N1,Elements_nom,F17),IF($AA$1="N2",SUMIFS(Elements_valeurs_N2,Elements_nom,F17),SUMIFS(Elements_valeurs_N3,Elements_nom,F17)))</f>
        <v>0</v>
      </c>
      <c r="G18" s="142">
        <f t="shared" si="2"/>
        <v>0</v>
      </c>
      <c r="H18" s="142">
        <f t="shared" si="2"/>
        <v>0</v>
      </c>
      <c r="I18" s="142">
        <f t="shared" si="2"/>
        <v>0</v>
      </c>
      <c r="J18" s="142">
        <f t="shared" si="2"/>
        <v>0</v>
      </c>
      <c r="K18" s="142">
        <f t="shared" si="2"/>
        <v>0</v>
      </c>
      <c r="L18" s="147">
        <f t="shared" si="2"/>
        <v>0</v>
      </c>
      <c r="M18" s="149">
        <f>IF(Q17=0,SUMIFS(Rattr_valeur_V,Rattr_nom,M17,Rattr_filière,$AA$1),SUMIFS(Rattr_valeur_H,Rattr_nom,M17,Rattr_filière,$AA$1))</f>
        <v>0</v>
      </c>
      <c r="N18" s="288"/>
      <c r="O18" s="352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291"/>
      <c r="AM18" s="292"/>
      <c r="AN18" s="292"/>
      <c r="AO18" s="292"/>
      <c r="AP18" s="292"/>
      <c r="AQ18" s="292"/>
      <c r="AR18" s="292"/>
      <c r="AS18" s="294"/>
      <c r="AT18" s="58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60"/>
      <c r="BF18" s="62"/>
      <c r="BG18" s="62"/>
      <c r="BH18" s="76"/>
    </row>
    <row r="19" spans="1:93" ht="23" customHeight="1" x14ac:dyDescent="0.15">
      <c r="A19" s="295" t="s">
        <v>47</v>
      </c>
      <c r="B19" s="286"/>
      <c r="C19" s="64" t="s">
        <v>45</v>
      </c>
      <c r="D19" s="297"/>
      <c r="E19" s="298"/>
      <c r="F19" s="297"/>
      <c r="G19" s="299"/>
      <c r="H19" s="299"/>
      <c r="I19" s="299"/>
      <c r="J19" s="299"/>
      <c r="K19" s="299"/>
      <c r="L19" s="298"/>
      <c r="M19" s="65"/>
      <c r="N19" s="300"/>
      <c r="O19" s="352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280"/>
      <c r="AM19" s="175"/>
      <c r="AN19" s="66"/>
      <c r="AO19" s="175"/>
      <c r="AP19" s="175"/>
      <c r="AQ19" s="175"/>
      <c r="AR19" s="175"/>
      <c r="AS19" s="269"/>
      <c r="AT19" s="179" t="str">
        <f>IF(OR($AA$1="N2",$AA$1="N3"),VLOOKUP(AT$7,DATA!$M:$N,2,FALSE),"")</f>
        <v xml:space="preserve"> </v>
      </c>
      <c r="AU19" s="177" t="str">
        <f>IF(OR($AA$1="N2",$AA$1="N3"),VLOOKUP(AU$7,DATA!$M:$N,2,FALSE),"")</f>
        <v>x</v>
      </c>
      <c r="AV19" s="177" t="str">
        <f>IF(OR($AA$1="N2",$AA$1="N3"),VLOOKUP(AV$7,DATA!$M:$N,2,FALSE),"")</f>
        <v>x</v>
      </c>
      <c r="AW19" s="177" t="str">
        <f>IF(OR($AA$1="N2",$AA$1="N3"),VLOOKUP(AW$7,DATA!$M:$N,2,FALSE),"")</f>
        <v xml:space="preserve"> </v>
      </c>
      <c r="AX19" s="177" t="str">
        <f>IF(OR($AA$1="N2",$AA$1="N3"),VLOOKUP(AX$7,DATA!$M:$N,2,FALSE),"")</f>
        <v xml:space="preserve"> </v>
      </c>
      <c r="AY19" s="177" t="str">
        <f>IF(OR($AA$1="N2",$AA$1="N3"),VLOOKUP(AY$7,DATA!$M:$N,2,FALSE),"")</f>
        <v>x</v>
      </c>
      <c r="AZ19" s="177" t="str">
        <f>IF(OR($AA$1="N2",$AA$1="N3"),VLOOKUP(AZ$7,DATA!$M:$N,2,FALSE),"")</f>
        <v xml:space="preserve"> </v>
      </c>
      <c r="BA19" s="177" t="str">
        <f>IF(OR($AA$1="N2",$AA$1="N3"),VLOOKUP(BA$7,DATA!$M:$N,2,FALSE),"")</f>
        <v>x</v>
      </c>
      <c r="BB19" s="177" t="str">
        <f>IF(OR($AA$1="N2",$AA$1="N3"),VLOOKUP(BB$7,DATA!$M:$N,2,FALSE),"")</f>
        <v>x</v>
      </c>
      <c r="BC19" s="177" t="str">
        <f>IF(OR($AA$1="N2",$AA$1="N3"),VLOOKUP(BC$7,DATA!$M:$N,2,FALSE),"")</f>
        <v>x</v>
      </c>
      <c r="BD19" s="177" t="str">
        <f>IF(OR($AA$1="N2",$AA$1="N3"),VLOOKUP(BD$7,DATA!$M:$N,2,FALSE),"")</f>
        <v>x</v>
      </c>
      <c r="BE19" s="181" t="str">
        <f>IF(OR($AA$1="N2",$AA$1="N3"),VLOOKUP(BE$7,DATA!$M:$N,2,FALSE),"")</f>
        <v>x</v>
      </c>
      <c r="BF19" s="66"/>
      <c r="BG19" s="66"/>
      <c r="BH19" s="269"/>
    </row>
    <row r="20" spans="1:93" ht="23" customHeight="1" thickBot="1" x14ac:dyDescent="0.2">
      <c r="A20" s="296"/>
      <c r="B20" s="286"/>
      <c r="C20" s="68" t="s">
        <v>46</v>
      </c>
      <c r="D20" s="69"/>
      <c r="E20" s="70"/>
      <c r="F20" s="69"/>
      <c r="G20" s="71"/>
      <c r="H20" s="71"/>
      <c r="I20" s="71"/>
      <c r="J20" s="71"/>
      <c r="K20" s="71"/>
      <c r="L20" s="70"/>
      <c r="M20" s="72"/>
      <c r="N20" s="303"/>
      <c r="O20" s="352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04"/>
      <c r="AM20" s="176"/>
      <c r="AN20" s="73"/>
      <c r="AO20" s="176"/>
      <c r="AP20" s="176"/>
      <c r="AQ20" s="176"/>
      <c r="AR20" s="176"/>
      <c r="AS20" s="302"/>
      <c r="AT20" s="180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82"/>
      <c r="BF20" s="73"/>
      <c r="BG20" s="73"/>
      <c r="BH20" s="302"/>
    </row>
    <row r="21" spans="1:93" ht="98" customHeight="1" x14ac:dyDescent="0.15">
      <c r="A21" s="283"/>
      <c r="B21" s="285" t="str">
        <f>IFERROR(VLOOKUP(AL1&amp;AL3,DATA!AH:AN,5,FALSE),"SAISIR FILIERE ET CATEGORIE")</f>
        <v>SAISIR FILIERE ET CATEGORIE</v>
      </c>
      <c r="C21" s="47" t="s">
        <v>45</v>
      </c>
      <c r="D21" s="140"/>
      <c r="E21" s="141"/>
      <c r="F21" s="167"/>
      <c r="G21" s="165"/>
      <c r="H21" s="165"/>
      <c r="I21" s="165"/>
      <c r="J21" s="165"/>
      <c r="K21" s="165"/>
      <c r="L21" s="168"/>
      <c r="M21" s="143"/>
      <c r="N21" s="287">
        <f>SUM(D22:L22,M22)</f>
        <v>0</v>
      </c>
      <c r="O21" s="352"/>
      <c r="P21" s="34" t="str">
        <f>M21&amp;Q21</f>
        <v>0</v>
      </c>
      <c r="Q21" s="34">
        <f>IFERROR(VLOOKUP($D21,DATA!$BE:$BH,3,FALSE),0)+IFERROR(VLOOKUP($E21,DATA!$BE:$BH,3,FALSE),0)</f>
        <v>0</v>
      </c>
      <c r="R21" s="34">
        <f>IFERROR(VLOOKUP($D21,DATA!$BE:$BH,4,FALSE),0)+IFERROR(VLOOKUP($E21,DATA!$BE:$BH,4,FALSE),0)</f>
        <v>0</v>
      </c>
      <c r="S21" s="34" t="str">
        <f>D21&amp;E21</f>
        <v/>
      </c>
      <c r="T21" s="34">
        <f>IF(OR(ISBLANK(D21),D21="Extérieur MD"),0,COUNTIF(S:S,S21)-1)</f>
        <v>0</v>
      </c>
      <c r="U21" s="34">
        <f>IF(OR(M21="Main droite",ISBLANK(M21)),0,COUNTIF($P$9:$P$28,P21)-1)</f>
        <v>0</v>
      </c>
      <c r="V21" s="34">
        <f>IF(N21=0,0,IF(N21&lt;=$W$2,0,1))</f>
        <v>0</v>
      </c>
      <c r="W21" s="48">
        <f>IFERROR(VLOOKUP(F21,DATA!$BK:$BL,2,FALSE),0)</f>
        <v>0</v>
      </c>
      <c r="X21" s="48">
        <f>IFERROR(VLOOKUP(G21,DATA!$BK:$BL,2,FALSE),0)</f>
        <v>0</v>
      </c>
      <c r="Y21" s="48">
        <f>IFERROR(VLOOKUP(#REF!,DATA!$BK:$BL,2,FALSE),0)</f>
        <v>0</v>
      </c>
      <c r="Z21" s="48">
        <f>IFERROR(VLOOKUP(H21,DATA!$BK:$BL,2,FALSE),0)</f>
        <v>0</v>
      </c>
      <c r="AA21" s="48">
        <f>IFERROR(VLOOKUP(I21,DATA!$BK:$BL,2,FALSE),0)</f>
        <v>0</v>
      </c>
      <c r="AB21" s="48">
        <f>IFERROR(VLOOKUP(J21,DATA!$BK:$BL,2,FALSE),0)</f>
        <v>0</v>
      </c>
      <c r="AC21" s="48">
        <f>IFERROR(VLOOKUP(K21,DATA!$BK:$BL,2,FALSE),0)</f>
        <v>0</v>
      </c>
      <c r="AD21" s="48">
        <f>IFERROR(VLOOKUP(L21,DATA!$BK:$BL,2,FALSE),0)</f>
        <v>0</v>
      </c>
      <c r="AE21" s="49">
        <f>IF(AND(COUNTIF($W21:$AD21,"P")&gt;0,COUNTIF($W21:$AD21,"SP")=0,COUNTIF($W21:$AD21,"PD")=0,COUNTIF($W21:$AD21,"DSP")=0,COUNTIF($W21:$AD21,"MSPD")=0),"PIVOT",0)</f>
        <v>0</v>
      </c>
      <c r="AF21" s="50">
        <f>IF(AND(COUNTIF($W21:$AD21,"PD")=0,(OR(COUNTIF($W21:$AD21,"SP")&gt;=1,COUNTIF($W21:$AD21,"DSP")&gt;=1,COUNTIF($W21:$AD21,"MSPD")&gt;=1))),"SUR PLACE",0)</f>
        <v>0</v>
      </c>
      <c r="AG21" s="50">
        <f>IF(OR(COUNTIF($W21:$AD21,"PD")=1,COUNTIF($W21:$AD21,"MSPD")=1),"PETIT DEPLACEMENT",0)</f>
        <v>0</v>
      </c>
      <c r="AH21" s="49">
        <f>IF((COUNTIF($W21:$AD21,"PD")+COUNTIF($W21:$AD21,"MSPD"))&gt;1,"GRAND DEPLACEMENT",0)</f>
        <v>0</v>
      </c>
      <c r="AI21" s="49">
        <f>IF(AND(AG21=0,AH21=0),0,"DEPLACEMENT")</f>
        <v>0</v>
      </c>
      <c r="AJ21" s="49" t="e">
        <f>IF(VLOOKUP(B21,DATA!AW:AX,2,FALSE)=1,1,0)</f>
        <v>#N/A</v>
      </c>
      <c r="AK21" s="49">
        <f>IF(N21=0,0,IF(AJ21=1,IF(N21&lt;&gt;0,0,1),IF(OR(B21=AE21,B21=AF21,B21=AG21,B21=AH21,B21=AI21),0,1)))</f>
        <v>0</v>
      </c>
      <c r="AL21" s="289" t="str">
        <f>IF(V21=0,"","Valeur du lancé dépasse le plafond de la catégorie")</f>
        <v/>
      </c>
      <c r="AM21" s="290"/>
      <c r="AN21" s="290"/>
      <c r="AO21" s="290" t="str">
        <f>IF(T21=0,IF(U21=0,"","Doublon rattrapage"),IF(U21=0,"Doublon engagement","Doublon engagement et rattrapage"))</f>
        <v/>
      </c>
      <c r="AP21" s="290"/>
      <c r="AQ21" s="290"/>
      <c r="AR21" s="290" t="str">
        <f>IF(AK21=1,"Nature du lancé non conforme à la nature attendue","")</f>
        <v/>
      </c>
      <c r="AS21" s="293"/>
      <c r="AT21" s="51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3"/>
      <c r="BF21" s="55"/>
      <c r="BG21" s="55"/>
      <c r="BH21" s="75"/>
    </row>
    <row r="22" spans="1:93" ht="23" customHeight="1" thickBot="1" x14ac:dyDescent="0.2">
      <c r="A22" s="284"/>
      <c r="B22" s="286"/>
      <c r="C22" s="57" t="s">
        <v>46</v>
      </c>
      <c r="D22" s="144">
        <f>SUMIFS(Engagt_valeur,Engagt_filière,$AA$1,Engagt_nom,'FPI MODELE 2025'!D21)</f>
        <v>0</v>
      </c>
      <c r="E22" s="145">
        <f>SUMIFS(Engagt_valeur,Engagt_filière,$AA$1,Engagt_nom,'FPI MODELE 2025'!E21)</f>
        <v>0</v>
      </c>
      <c r="F22" s="146">
        <f t="shared" ref="F22:L22" si="3">IF($AA$1="N1",SUMIFS(Elements_valeurs_N1,Elements_nom,F21),IF($AA$1="N2",SUMIFS(Elements_valeurs_N2,Elements_nom,F21),SUMIFS(Elements_valeurs_N3,Elements_nom,F21)))</f>
        <v>0</v>
      </c>
      <c r="G22" s="142">
        <f t="shared" si="3"/>
        <v>0</v>
      </c>
      <c r="H22" s="142">
        <f t="shared" si="3"/>
        <v>0</v>
      </c>
      <c r="I22" s="142">
        <f t="shared" si="3"/>
        <v>0</v>
      </c>
      <c r="J22" s="142">
        <f t="shared" si="3"/>
        <v>0</v>
      </c>
      <c r="K22" s="142">
        <f t="shared" si="3"/>
        <v>0</v>
      </c>
      <c r="L22" s="147">
        <f t="shared" si="3"/>
        <v>0</v>
      </c>
      <c r="M22" s="149">
        <f>IF(Q21=0,SUMIFS(Rattr_valeur_V,Rattr_nom,M21,Rattr_filière,$AA$1),SUMIFS(Rattr_valeur_H,Rattr_nom,M21,Rattr_filière,$AA$1))</f>
        <v>0</v>
      </c>
      <c r="N22" s="288"/>
      <c r="O22" s="352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291"/>
      <c r="AM22" s="292"/>
      <c r="AN22" s="292"/>
      <c r="AO22" s="292"/>
      <c r="AP22" s="292"/>
      <c r="AQ22" s="292"/>
      <c r="AR22" s="292"/>
      <c r="AS22" s="294"/>
      <c r="AT22" s="58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60"/>
      <c r="BF22" s="62"/>
      <c r="BG22" s="62"/>
      <c r="BH22" s="76"/>
    </row>
    <row r="23" spans="1:93" ht="23" customHeight="1" x14ac:dyDescent="0.15">
      <c r="A23" s="295" t="s">
        <v>47</v>
      </c>
      <c r="B23" s="286"/>
      <c r="C23" s="64" t="s">
        <v>45</v>
      </c>
      <c r="D23" s="297"/>
      <c r="E23" s="298"/>
      <c r="F23" s="297"/>
      <c r="G23" s="299"/>
      <c r="H23" s="299"/>
      <c r="I23" s="299"/>
      <c r="J23" s="299"/>
      <c r="K23" s="299"/>
      <c r="L23" s="298"/>
      <c r="M23" s="65"/>
      <c r="N23" s="300"/>
      <c r="O23" s="352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280"/>
      <c r="AM23" s="175"/>
      <c r="AN23" s="66"/>
      <c r="AO23" s="175"/>
      <c r="AP23" s="175"/>
      <c r="AQ23" s="175"/>
      <c r="AR23" s="175"/>
      <c r="AS23" s="269"/>
      <c r="AT23" s="179" t="str">
        <f>IF(OR($AA$1="N2",$AA$1="N3"),VLOOKUP(AT$7,DATA!$M:$N,2,FALSE),"")</f>
        <v xml:space="preserve"> </v>
      </c>
      <c r="AU23" s="177" t="str">
        <f>IF(OR($AA$1="N2",$AA$1="N3"),VLOOKUP(AU$7,DATA!$M:$N,2,FALSE),"")</f>
        <v>x</v>
      </c>
      <c r="AV23" s="177" t="str">
        <f>IF(OR($AA$1="N2",$AA$1="N3"),VLOOKUP(AV$7,DATA!$M:$N,2,FALSE),"")</f>
        <v>x</v>
      </c>
      <c r="AW23" s="177" t="str">
        <f>IF(OR($AA$1="N2",$AA$1="N3"),VLOOKUP(AW$7,DATA!$M:$N,2,FALSE),"")</f>
        <v xml:space="preserve"> </v>
      </c>
      <c r="AX23" s="177" t="str">
        <f>IF(OR($AA$1="N2",$AA$1="N3"),VLOOKUP(AX$7,DATA!$M:$N,2,FALSE),"")</f>
        <v xml:space="preserve"> </v>
      </c>
      <c r="AY23" s="177" t="str">
        <f>IF(OR($AA$1="N2",$AA$1="N3"),VLOOKUP(AY$7,DATA!$M:$N,2,FALSE),"")</f>
        <v>x</v>
      </c>
      <c r="AZ23" s="177" t="str">
        <f>IF(OR($AA$1="N2",$AA$1="N3"),VLOOKUP(AZ$7,DATA!$M:$N,2,FALSE),"")</f>
        <v xml:space="preserve"> </v>
      </c>
      <c r="BA23" s="177" t="str">
        <f>IF(OR($AA$1="N2",$AA$1="N3"),VLOOKUP(BA$7,DATA!$M:$N,2,FALSE),"")</f>
        <v>x</v>
      </c>
      <c r="BB23" s="177" t="str">
        <f>IF(OR($AA$1="N2",$AA$1="N3"),VLOOKUP(BB$7,DATA!$M:$N,2,FALSE),"")</f>
        <v>x</v>
      </c>
      <c r="BC23" s="177" t="str">
        <f>IF(OR($AA$1="N2",$AA$1="N3"),VLOOKUP(BC$7,DATA!$M:$N,2,FALSE),"")</f>
        <v>x</v>
      </c>
      <c r="BD23" s="177" t="str">
        <f>IF(OR($AA$1="N2",$AA$1="N3"),VLOOKUP(BD$7,DATA!$M:$N,2,FALSE),"")</f>
        <v>x</v>
      </c>
      <c r="BE23" s="181" t="str">
        <f>IF(OR($AA$1="N2",$AA$1="N3"),VLOOKUP(BE$7,DATA!$M:$N,2,FALSE),"")</f>
        <v>x</v>
      </c>
      <c r="BF23" s="66"/>
      <c r="BG23" s="66"/>
      <c r="BH23" s="269"/>
    </row>
    <row r="24" spans="1:93" ht="23" customHeight="1" thickBot="1" x14ac:dyDescent="0.2">
      <c r="A24" s="296"/>
      <c r="B24" s="286"/>
      <c r="C24" s="68" t="s">
        <v>46</v>
      </c>
      <c r="D24" s="69"/>
      <c r="E24" s="70"/>
      <c r="F24" s="69"/>
      <c r="G24" s="71"/>
      <c r="H24" s="71"/>
      <c r="I24" s="71"/>
      <c r="J24" s="71"/>
      <c r="K24" s="71"/>
      <c r="L24" s="70"/>
      <c r="M24" s="72"/>
      <c r="N24" s="303"/>
      <c r="O24" s="352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04"/>
      <c r="AM24" s="176"/>
      <c r="AN24" s="73"/>
      <c r="AO24" s="176"/>
      <c r="AP24" s="176"/>
      <c r="AQ24" s="176"/>
      <c r="AR24" s="176"/>
      <c r="AS24" s="302"/>
      <c r="AT24" s="180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82"/>
      <c r="BF24" s="73"/>
      <c r="BG24" s="73"/>
      <c r="BH24" s="302"/>
    </row>
    <row r="25" spans="1:93" ht="97" customHeight="1" x14ac:dyDescent="0.15">
      <c r="A25" s="283"/>
      <c r="B25" s="285" t="str">
        <f>IFERROR(VLOOKUP(AL1&amp;AL3,DATA!AH:AN,6,FALSE),"SAISIR FILIERE ET CATEGORIE")</f>
        <v>SAISIR FILIERE ET CATEGORIE</v>
      </c>
      <c r="C25" s="47" t="s">
        <v>45</v>
      </c>
      <c r="D25" s="170"/>
      <c r="E25" s="168"/>
      <c r="F25" s="167"/>
      <c r="G25" s="165"/>
      <c r="H25" s="165"/>
      <c r="I25" s="165"/>
      <c r="J25" s="165"/>
      <c r="K25" s="165"/>
      <c r="L25" s="168"/>
      <c r="M25" s="169"/>
      <c r="N25" s="287">
        <f>SUM(D26:L26,M26)</f>
        <v>0</v>
      </c>
      <c r="O25" s="352"/>
      <c r="P25" s="34" t="str">
        <f>M25&amp;Q25</f>
        <v>0</v>
      </c>
      <c r="Q25" s="34">
        <f>IFERROR(VLOOKUP($D25,DATA!$BE:$BH,3,FALSE),0)+IFERROR(VLOOKUP($E25,DATA!$BE:$BH,3,FALSE),0)</f>
        <v>0</v>
      </c>
      <c r="R25" s="34">
        <f>IFERROR(VLOOKUP($D25,DATA!$BE:$BH,4,FALSE),0)+IFERROR(VLOOKUP($E25,DATA!$BE:$BH,4,FALSE),0)</f>
        <v>0</v>
      </c>
      <c r="S25" s="34" t="str">
        <f>D25&amp;E25</f>
        <v/>
      </c>
      <c r="T25" s="34">
        <f>IF(OR(ISBLANK(D25),D25="Extérieur MD"),0,COUNTIF(S:S,S25)-1)</f>
        <v>0</v>
      </c>
      <c r="U25" s="34">
        <f>IF(OR(M25="Main droite",ISBLANK(M25)),0,COUNTIF($P$9:$P$28,P25)-1)</f>
        <v>0</v>
      </c>
      <c r="V25" s="34">
        <f>IF(N25=0,0,IF(N25&lt;=$W$2,0,1))</f>
        <v>0</v>
      </c>
      <c r="W25" s="48">
        <f>IFERROR(VLOOKUP(F25,DATA!$BK:$BL,2,FALSE),0)</f>
        <v>0</v>
      </c>
      <c r="X25" s="48">
        <f>IFERROR(VLOOKUP(G25,DATA!$BK:$BL,2,FALSE),0)</f>
        <v>0</v>
      </c>
      <c r="Y25" s="48">
        <f>IFERROR(VLOOKUP(#REF!,DATA!$BK:$BL,2,FALSE),0)</f>
        <v>0</v>
      </c>
      <c r="Z25" s="48">
        <f>IFERROR(VLOOKUP(H25,DATA!$BK:$BL,2,FALSE),0)</f>
        <v>0</v>
      </c>
      <c r="AA25" s="48">
        <f>IFERROR(VLOOKUP(I25,DATA!$BK:$BL,2,FALSE),0)</f>
        <v>0</v>
      </c>
      <c r="AB25" s="48">
        <f>IFERROR(VLOOKUP(J25,DATA!$BK:$BL,2,FALSE),0)</f>
        <v>0</v>
      </c>
      <c r="AC25" s="48">
        <f>IFERROR(VLOOKUP(K25,DATA!$BK:$BL,2,FALSE),0)</f>
        <v>0</v>
      </c>
      <c r="AD25" s="48">
        <f>IFERROR(VLOOKUP(L25,DATA!$BK:$BL,2,FALSE),0)</f>
        <v>0</v>
      </c>
      <c r="AE25" s="49">
        <f>IF(AND(COUNTIF($W25:$AD25,"P")&gt;0,COUNTIF($W25:$AD25,"SP")=0,COUNTIF($W25:$AD25,"PD")=0,COUNTIF($W25:$AD25,"DSP")=0,COUNTIF($W25:$AD25,"MSPD")=0),"PIVOT",0)</f>
        <v>0</v>
      </c>
      <c r="AF25" s="50">
        <f>IF(AND(COUNTIF($W25:$AD25,"PD")=0,(OR(COUNTIF($W25:$AD25,"SP")&gt;=1,COUNTIF($W25:$AD25,"DSP")&gt;=1,COUNTIF($W25:$AD25,"MSPD")&gt;=1))),"SUR PLACE",0)</f>
        <v>0</v>
      </c>
      <c r="AG25" s="50">
        <f>IF(OR(COUNTIF($W25:$AD25,"PD")=1,COUNTIF($W25:$AD25,"MSPD")=1),"PETIT DEPLACEMENT",0)</f>
        <v>0</v>
      </c>
      <c r="AH25" s="49">
        <f>IF((COUNTIF($W25:$AD25,"PD")+COUNTIF($W25:$AD25,"MSPD"))&gt;1,"GRAND DEPLACEMENT",0)</f>
        <v>0</v>
      </c>
      <c r="AI25" s="49">
        <f>IF(AND(AG25=0,AH25=0),0,"DEPLACEMENT")</f>
        <v>0</v>
      </c>
      <c r="AJ25" s="49" t="e">
        <f>IF(VLOOKUP(B25,DATA!AW:AX,2,FALSE)=1,1,0)</f>
        <v>#N/A</v>
      </c>
      <c r="AK25" s="49">
        <f>IF(N25=0,0,IF(AJ25=1,IF(N25&lt;&gt;0,0,1),IF(OR(B25=AE25,B25=AF25,B25=AG25,B25=AH25,B25=AI25),0,1)))</f>
        <v>0</v>
      </c>
      <c r="AL25" s="289" t="str">
        <f>IF(V25=0,"","Valeur du lancé dépasse le plafond de la catégorie")</f>
        <v/>
      </c>
      <c r="AM25" s="290"/>
      <c r="AN25" s="290"/>
      <c r="AO25" s="290" t="str">
        <f>IF(T25=0,IF(U25=0,"","Doublon rattrapage"),IF(U25=0,"Doublon engagement","Doublon engagement et rattrapage"))</f>
        <v/>
      </c>
      <c r="AP25" s="290"/>
      <c r="AQ25" s="290"/>
      <c r="AR25" s="290" t="str">
        <f>IF(AK25=1,"Nature du lancé non conforme à la nature attendue","")</f>
        <v/>
      </c>
      <c r="AS25" s="293"/>
      <c r="AT25" s="51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3"/>
      <c r="BF25" s="55"/>
      <c r="BG25" s="55"/>
      <c r="BH25" s="75"/>
    </row>
    <row r="26" spans="1:93" ht="23" customHeight="1" thickBot="1" x14ac:dyDescent="0.2">
      <c r="A26" s="284"/>
      <c r="B26" s="286"/>
      <c r="C26" s="57" t="s">
        <v>46</v>
      </c>
      <c r="D26" s="144">
        <f>SUMIFS(Engagt_valeur,Engagt_filière,$AA$1,Engagt_nom,'FPI MODELE 2025'!D25)</f>
        <v>0</v>
      </c>
      <c r="E26" s="145">
        <f>SUMIFS(Engagt_valeur,Engagt_filière,$AA$1,Engagt_nom,'FPI MODELE 2025'!E25)</f>
        <v>0</v>
      </c>
      <c r="F26" s="146">
        <f t="shared" ref="F26:L26" si="4">IF($AA$1="N1",SUMIFS(Elements_valeurs_N1,Elements_nom,F25),IF($AA$1="N2",SUMIFS(Elements_valeurs_N2,Elements_nom,F25),SUMIFS(Elements_valeurs_N3,Elements_nom,F25)))</f>
        <v>0</v>
      </c>
      <c r="G26" s="142">
        <f t="shared" si="4"/>
        <v>0</v>
      </c>
      <c r="H26" s="142">
        <f t="shared" si="4"/>
        <v>0</v>
      </c>
      <c r="I26" s="142">
        <f t="shared" si="4"/>
        <v>0</v>
      </c>
      <c r="J26" s="142">
        <f t="shared" si="4"/>
        <v>0</v>
      </c>
      <c r="K26" s="142">
        <f t="shared" si="4"/>
        <v>0</v>
      </c>
      <c r="L26" s="147">
        <f t="shared" si="4"/>
        <v>0</v>
      </c>
      <c r="M26" s="149">
        <f>IF(Q25=0,SUMIFS(Rattr_valeur_V,Rattr_nom,M25,Rattr_filière,$AA$1),SUMIFS(Rattr_valeur_H,Rattr_nom,M25,Rattr_filière,$AA$1))</f>
        <v>0</v>
      </c>
      <c r="N26" s="288"/>
      <c r="O26" s="352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291"/>
      <c r="AM26" s="292"/>
      <c r="AN26" s="292"/>
      <c r="AO26" s="292"/>
      <c r="AP26" s="292"/>
      <c r="AQ26" s="292"/>
      <c r="AR26" s="292"/>
      <c r="AS26" s="294"/>
      <c r="AT26" s="58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60"/>
      <c r="BF26" s="62"/>
      <c r="BG26" s="62"/>
      <c r="BH26" s="76"/>
    </row>
    <row r="27" spans="1:93" ht="23" customHeight="1" x14ac:dyDescent="0.15">
      <c r="A27" s="295" t="s">
        <v>47</v>
      </c>
      <c r="B27" s="286"/>
      <c r="C27" s="64" t="s">
        <v>45</v>
      </c>
      <c r="D27" s="297"/>
      <c r="E27" s="298"/>
      <c r="F27" s="297"/>
      <c r="G27" s="299"/>
      <c r="H27" s="299"/>
      <c r="I27" s="299"/>
      <c r="J27" s="299"/>
      <c r="K27" s="299"/>
      <c r="L27" s="298"/>
      <c r="M27" s="65"/>
      <c r="N27" s="300"/>
      <c r="O27" s="352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280"/>
      <c r="AM27" s="175"/>
      <c r="AN27" s="66"/>
      <c r="AO27" s="175"/>
      <c r="AP27" s="175"/>
      <c r="AQ27" s="175"/>
      <c r="AR27" s="175"/>
      <c r="AS27" s="269"/>
      <c r="AT27" s="179" t="str">
        <f>IF(OR($AA$1="N2",$AA$1="N3"),VLOOKUP(AT$7,DATA!$M:$N,2,FALSE),"")</f>
        <v xml:space="preserve"> </v>
      </c>
      <c r="AU27" s="177" t="str">
        <f>IF(OR($AA$1="N2",$AA$1="N3"),VLOOKUP(AU$7,DATA!$M:$N,2,FALSE),"")</f>
        <v>x</v>
      </c>
      <c r="AV27" s="177" t="str">
        <f>IF(OR($AA$1="N2",$AA$1="N3"),VLOOKUP(AV$7,DATA!$M:$N,2,FALSE),"")</f>
        <v>x</v>
      </c>
      <c r="AW27" s="177" t="str">
        <f>IF(OR($AA$1="N2",$AA$1="N3"),VLOOKUP(AW$7,DATA!$M:$N,2,FALSE),"")</f>
        <v xml:space="preserve"> </v>
      </c>
      <c r="AX27" s="177" t="str">
        <f>IF(OR($AA$1="N2",$AA$1="N3"),VLOOKUP(AX$7,DATA!$M:$N,2,FALSE),"")</f>
        <v xml:space="preserve"> </v>
      </c>
      <c r="AY27" s="177" t="str">
        <f>IF(OR($AA$1="N2",$AA$1="N3"),VLOOKUP(AY$7,DATA!$M:$N,2,FALSE),"")</f>
        <v>x</v>
      </c>
      <c r="AZ27" s="177" t="str">
        <f>IF(OR($AA$1="N2",$AA$1="N3"),VLOOKUP(AZ$7,DATA!$M:$N,2,FALSE),"")</f>
        <v xml:space="preserve"> </v>
      </c>
      <c r="BA27" s="177" t="str">
        <f>IF(OR($AA$1="N2",$AA$1="N3"),VLOOKUP(BA$7,DATA!$M:$N,2,FALSE),"")</f>
        <v>x</v>
      </c>
      <c r="BB27" s="177" t="str">
        <f>IF(OR($AA$1="N2",$AA$1="N3"),VLOOKUP(BB$7,DATA!$M:$N,2,FALSE),"")</f>
        <v>x</v>
      </c>
      <c r="BC27" s="177" t="str">
        <f>IF(OR($AA$1="N2",$AA$1="N3"),VLOOKUP(BC$7,DATA!$M:$N,2,FALSE),"")</f>
        <v>x</v>
      </c>
      <c r="BD27" s="177" t="str">
        <f>IF(OR($AA$1="N2",$AA$1="N3"),VLOOKUP(BD$7,DATA!$M:$N,2,FALSE),"")</f>
        <v>x</v>
      </c>
      <c r="BE27" s="181" t="str">
        <f>IF(OR($AA$1="N2",$AA$1="N3"),VLOOKUP(BE$7,DATA!$M:$N,2,FALSE),"")</f>
        <v>x</v>
      </c>
      <c r="BF27" s="66"/>
      <c r="BG27" s="66"/>
      <c r="BH27" s="269"/>
    </row>
    <row r="28" spans="1:93" ht="23" customHeight="1" thickBot="1" x14ac:dyDescent="0.2">
      <c r="A28" s="296"/>
      <c r="B28" s="286"/>
      <c r="C28" s="68" t="s">
        <v>46</v>
      </c>
      <c r="D28" s="69"/>
      <c r="E28" s="70"/>
      <c r="F28" s="69"/>
      <c r="G28" s="71"/>
      <c r="H28" s="71"/>
      <c r="I28" s="71"/>
      <c r="J28" s="71"/>
      <c r="K28" s="71"/>
      <c r="L28" s="70"/>
      <c r="M28" s="77"/>
      <c r="N28" s="301"/>
      <c r="O28" s="352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281"/>
      <c r="AM28" s="282"/>
      <c r="AN28" s="78"/>
      <c r="AO28" s="282"/>
      <c r="AP28" s="282"/>
      <c r="AQ28" s="282"/>
      <c r="AR28" s="282"/>
      <c r="AS28" s="270"/>
      <c r="AT28" s="180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82"/>
      <c r="BF28" s="78"/>
      <c r="BG28" s="78"/>
      <c r="BH28" s="270"/>
    </row>
    <row r="29" spans="1:93" ht="19.5" customHeight="1" thickBot="1" x14ac:dyDescent="0.2">
      <c r="A29" s="95"/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156" t="s">
        <v>48</v>
      </c>
      <c r="N29" s="157">
        <f>+N25+N21+N17+N13+N9</f>
        <v>0</v>
      </c>
      <c r="O29" s="79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271"/>
      <c r="AM29" s="271"/>
      <c r="AN29" s="271"/>
      <c r="AO29" s="271"/>
      <c r="AP29" s="271"/>
      <c r="AQ29" s="271"/>
      <c r="AR29" s="271"/>
      <c r="AS29" s="272"/>
      <c r="AT29" s="273" t="s">
        <v>1105</v>
      </c>
      <c r="AU29" s="274"/>
      <c r="AV29" s="274"/>
      <c r="AW29" s="274"/>
      <c r="AX29" s="274"/>
      <c r="AY29" s="274"/>
      <c r="AZ29" s="274"/>
      <c r="BA29" s="274"/>
      <c r="BB29" s="274"/>
      <c r="BC29" s="274"/>
      <c r="BD29" s="274"/>
      <c r="BE29" s="274"/>
      <c r="BF29" s="275"/>
      <c r="BG29" s="276"/>
      <c r="BH29" s="81"/>
      <c r="BI29" s="82"/>
      <c r="CO29" s="83"/>
    </row>
    <row r="30" spans="1:93" ht="19.5" customHeight="1" thickBot="1" x14ac:dyDescent="0.2">
      <c r="A30" s="95"/>
      <c r="B30" s="100"/>
      <c r="C30" s="112"/>
      <c r="D30" s="212" t="s">
        <v>1109</v>
      </c>
      <c r="E30" s="213"/>
      <c r="F30" s="166"/>
      <c r="G30" s="112"/>
      <c r="H30" s="112"/>
      <c r="I30" s="112"/>
      <c r="J30" s="112"/>
      <c r="K30" s="112"/>
      <c r="L30" s="113"/>
      <c r="M30" s="160" t="s">
        <v>1104</v>
      </c>
      <c r="N30" s="158">
        <f>SUM(IF(N9&gt;0,1,0),IF(N13&gt;0,1,0),IF(N17&gt;0,1,0),IF(N21&gt;0,1,0),IF(N25&gt;0,1,0))</f>
        <v>0</v>
      </c>
      <c r="O30" s="227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9"/>
      <c r="AT30" s="277" t="s">
        <v>1106</v>
      </c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9"/>
      <c r="BG30" s="279"/>
      <c r="BH30" s="84"/>
      <c r="BI30" s="82"/>
    </row>
    <row r="31" spans="1:93" ht="36" customHeight="1" thickBot="1" x14ac:dyDescent="0.2">
      <c r="A31" s="95"/>
      <c r="B31" s="100"/>
      <c r="C31" s="112"/>
      <c r="D31" s="112"/>
      <c r="E31" s="112"/>
      <c r="F31" s="112"/>
      <c r="G31" s="112"/>
      <c r="H31" s="112"/>
      <c r="I31" s="112"/>
      <c r="J31" s="112"/>
      <c r="K31" s="112"/>
      <c r="L31" s="113"/>
      <c r="M31" s="161" t="s">
        <v>49</v>
      </c>
      <c r="N31" s="159" t="str">
        <f>IFERROR(N29/N30,"")</f>
        <v/>
      </c>
      <c r="O31" s="255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7"/>
      <c r="AT31" s="258" t="s">
        <v>1097</v>
      </c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60" t="s">
        <v>182</v>
      </c>
      <c r="BG31" s="261"/>
      <c r="BH31" s="85"/>
      <c r="CO31" s="86"/>
    </row>
    <row r="32" spans="1:93" ht="23" customHeight="1" thickBot="1" x14ac:dyDescent="0.2">
      <c r="A32" s="87"/>
      <c r="B32" s="87"/>
      <c r="C32" s="8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5"/>
      <c r="AT32" s="262" t="s">
        <v>50</v>
      </c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4" t="str">
        <f>IF(AK9=0,"","ERREUR NATURE")</f>
        <v/>
      </c>
      <c r="BG32" s="265"/>
      <c r="BH32" s="266"/>
    </row>
    <row r="33" spans="1:60" ht="23" customHeight="1" x14ac:dyDescent="0.15">
      <c r="A33" s="90" t="s">
        <v>189</v>
      </c>
      <c r="B33" s="90"/>
      <c r="C33" s="90"/>
      <c r="D33" s="91" t="str">
        <f>"Rappel des obligatoires :"&amp;VLOOKUP($AL$1,DATA!$A$1:$G$5,7,FALSE)</f>
        <v xml:space="preserve">Rappel des obligatoires :3 roulers: 2 vert. et 1 horiz. </v>
      </c>
      <c r="E33" s="92"/>
      <c r="F33" s="93"/>
      <c r="G33" s="92"/>
      <c r="H33" s="93"/>
      <c r="I33" s="89"/>
      <c r="J33" s="90" t="s">
        <v>346</v>
      </c>
      <c r="K33" s="93"/>
      <c r="L33" s="92"/>
      <c r="M33" s="91" t="str">
        <f>"Rappel des obligatoires :"&amp;VLOOKUP($AL$1,DATA!$A$1:$K$5,11,FALSE)</f>
        <v xml:space="preserve">Rappel des obligatoires :3 maniements: 2 vert. et 1 horiz. 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6"/>
      <c r="AR33" s="96"/>
      <c r="AT33" s="233" t="str">
        <f>B9</f>
        <v>SAISIR FILIERE ET CATEGORIE</v>
      </c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5"/>
      <c r="BF33" s="236" t="str">
        <f>IF(AK13=0,"","ERREUR NATURE")</f>
        <v/>
      </c>
      <c r="BG33" s="237"/>
      <c r="BH33" s="238"/>
    </row>
    <row r="34" spans="1:60" ht="23" customHeight="1" x14ac:dyDescent="0.15">
      <c r="A34" s="248" t="s">
        <v>301</v>
      </c>
      <c r="B34" s="249"/>
      <c r="C34" s="249"/>
      <c r="D34" s="97"/>
      <c r="E34" s="163" t="str">
        <f>IFERROR(VLOOKUP(A35,IF($AA$1="N1",RV_VALEUR_N1,IF($AA$1="N2",RV_VALEUR_N2,RV_VALEUR_N3)),2,FALSE),"")</f>
        <v/>
      </c>
      <c r="F34" s="150" t="s">
        <v>1123</v>
      </c>
      <c r="G34" s="99"/>
      <c r="H34" s="163" t="str">
        <f>IFERROR(VLOOKUP(F35,IF($AA$1="N1",RH_VALEUR_N1,IF($AA$1="N2",RH_VALEUR_N2,RH_VALEUR_N3)),2,FALSE),"")</f>
        <v/>
      </c>
      <c r="I34" s="89"/>
      <c r="J34" s="150" t="s">
        <v>365</v>
      </c>
      <c r="K34" s="99"/>
      <c r="L34" s="163" t="str">
        <f>IFERROR(VLOOKUP(J35,IF($AA$1="N1",MGV_VALEUR_N1,IF($AA$1="N2",MGV_VALEUR_N2,MGV_VALEUR_N3)),2,FALSE),"")</f>
        <v/>
      </c>
      <c r="M34" s="151" t="s">
        <v>366</v>
      </c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267" t="str">
        <f>IFERROR(VLOOKUP(M35,IF($AA$1="N1",MGH_VALEUR_N1,IF($AA$1="N2",MGH_VALEUR_N2,MGH_VALEUR_N3)),2,FALSE),"")</f>
        <v/>
      </c>
      <c r="AO34" s="267"/>
      <c r="AP34" s="268"/>
      <c r="AQ34" s="96"/>
      <c r="AR34" s="95"/>
      <c r="AS34" s="95"/>
      <c r="AT34" s="233" t="str">
        <f>B13</f>
        <v>SAISIR FILIERE ET CATEGORIE</v>
      </c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5"/>
      <c r="BF34" s="236" t="str">
        <f>IF(AK17=0,"","ERREUR NATURE")</f>
        <v/>
      </c>
      <c r="BG34" s="237"/>
      <c r="BH34" s="238"/>
    </row>
    <row r="35" spans="1:60" ht="37" customHeight="1" x14ac:dyDescent="0.15">
      <c r="A35" s="214"/>
      <c r="B35" s="215"/>
      <c r="C35" s="215"/>
      <c r="D35" s="215"/>
      <c r="E35" s="216"/>
      <c r="F35" s="214"/>
      <c r="G35" s="215"/>
      <c r="H35" s="216"/>
      <c r="I35" s="89"/>
      <c r="J35" s="214"/>
      <c r="K35" s="215"/>
      <c r="L35" s="216"/>
      <c r="M35" s="214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6"/>
      <c r="AQ35" s="96"/>
      <c r="AR35" s="95"/>
      <c r="AS35" s="95"/>
      <c r="AT35" s="233" t="str">
        <f>B17</f>
        <v>SAISIR FILIERE ET CATEGORIE</v>
      </c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5"/>
      <c r="BF35" s="236" t="str">
        <f>IF(AK21=0,"","ERREUR NATURE")</f>
        <v/>
      </c>
      <c r="BG35" s="237"/>
      <c r="BH35" s="238"/>
    </row>
    <row r="36" spans="1:60" ht="23" customHeight="1" x14ac:dyDescent="0.15">
      <c r="A36" s="248" t="s">
        <v>302</v>
      </c>
      <c r="B36" s="249"/>
      <c r="C36" s="249"/>
      <c r="E36" s="163" t="str">
        <f>IFERROR(VLOOKUP(A37,IF($AA$1="N1",RV_VALEUR_N1,IF($AA$1="N2",RV_VALEUR_N2,RV_VALEUR_N3)),2,FALSE),"")</f>
        <v/>
      </c>
      <c r="F36" s="98" t="str">
        <f>IF($AA$1="N1","R horizontal 2 : ","")</f>
        <v/>
      </c>
      <c r="G36" s="99"/>
      <c r="H36" s="119" t="str">
        <f>IFERROR(VLOOKUP(F37,IF($AA$1="N1",RH_VALEUR_N1),FALSE),"")</f>
        <v/>
      </c>
      <c r="I36" s="89"/>
      <c r="J36" s="150" t="str">
        <f>IF(OR($AA$1="N2",$AA$1="N3"),"MG vertical 2 :","")</f>
        <v>MG vertical 2 :</v>
      </c>
      <c r="K36" s="99"/>
      <c r="L36" s="163" t="str">
        <f>IFERROR(VLOOKUP(J37,IF($AA$1="N1",MGL_VALEUR_N1,IF($AA$1="N2",MGV_VALEUR_N2,MGV_VALEUR_N3)),2,FALSE),"")</f>
        <v/>
      </c>
      <c r="M36" s="98" t="str">
        <f>IF($AA$1="N1","MG Libre 1 : ","")</f>
        <v/>
      </c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250" t="str">
        <f>IFERROR(VLOOKUP(M37,IF($AA$1="N1",MGL_VALEUR_N1),2,FALSE),"")</f>
        <v/>
      </c>
      <c r="AO36" s="250"/>
      <c r="AP36" s="251"/>
      <c r="AQ36" s="96"/>
      <c r="AR36" s="95"/>
      <c r="AS36" s="95"/>
      <c r="AT36" s="233" t="str">
        <f>B21</f>
        <v>SAISIR FILIERE ET CATEGORIE</v>
      </c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5"/>
      <c r="BF36" s="236" t="str">
        <f>IF(AK25=0,"","ERREUR NATURE")</f>
        <v/>
      </c>
      <c r="BG36" s="237"/>
      <c r="BH36" s="238"/>
    </row>
    <row r="37" spans="1:60" ht="38" customHeight="1" x14ac:dyDescent="0.15">
      <c r="A37" s="214"/>
      <c r="B37" s="215"/>
      <c r="C37" s="215"/>
      <c r="D37" s="215"/>
      <c r="E37" s="216"/>
      <c r="F37" s="195"/>
      <c r="G37" s="196"/>
      <c r="H37" s="197"/>
      <c r="I37" s="89"/>
      <c r="J37" s="214"/>
      <c r="K37" s="215"/>
      <c r="L37" s="216"/>
      <c r="M37" s="195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7"/>
      <c r="AQ37" s="96"/>
      <c r="AR37" s="95"/>
      <c r="AS37" s="95"/>
      <c r="AT37" s="233" t="s">
        <v>188</v>
      </c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5"/>
      <c r="BF37" s="236" t="str">
        <f>IF(Q4="x","",IF(SUM(Q9:Q28)&gt;=1,"","ERREUR HOR"))</f>
        <v>ERREUR HOR</v>
      </c>
      <c r="BG37" s="237"/>
      <c r="BH37" s="238"/>
    </row>
    <row r="38" spans="1:60" ht="23" customHeight="1" x14ac:dyDescent="0.15">
      <c r="A38" s="239" t="str">
        <f>IF(AA1="N3","","R vertical 3 : ")</f>
        <v/>
      </c>
      <c r="B38" s="240"/>
      <c r="C38" s="240"/>
      <c r="E38" s="119" t="str">
        <f>IFERROR(VLOOKUP(A39,IF($AA$1="N1",RV_VALEUR_N1,IF($AA$1="N2",RV_VALEUR_N2,RV_VALEUR_N3)),2,FALSE),"")</f>
        <v/>
      </c>
      <c r="F38" s="241"/>
      <c r="G38" s="241"/>
      <c r="H38" s="241"/>
      <c r="I38" s="89"/>
      <c r="J38" s="98" t="str">
        <f>IF($AA$1="N2","MG vertical 3:","")</f>
        <v/>
      </c>
      <c r="K38" s="99"/>
      <c r="L38" s="119" t="str">
        <f>IFERROR(VLOOKUP(J39,IF($AA$1="N1",MGV_VALEUR_N1,IF($AA$1="N2",MGV_VALEUR_N2,MGV_VALEUR_N3)),2,FALSE),"")</f>
        <v/>
      </c>
      <c r="M38" s="137" t="str">
        <f>IF($AA$1="N1","MG Libre 2 : ","")</f>
        <v/>
      </c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222" t="str">
        <f>IFERROR(VLOOKUP(M39,IF($AA$1="N1",MGL_VALEUR_N1,IF($AA$1="N2",MGH_VALEUR_N2,MGH_VALEUR_N3)),2,FALSE),"")</f>
        <v/>
      </c>
      <c r="AO38" s="222"/>
      <c r="AP38" s="223"/>
      <c r="AQ38" s="96"/>
      <c r="AR38" s="95"/>
      <c r="AS38" s="95"/>
      <c r="AT38" s="233" t="s">
        <v>181</v>
      </c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5"/>
      <c r="BF38" s="236" t="str">
        <f>IF(AL3="Choix de la catégorie","",IF(SUM(R9:R28)&gt;=1,"","ERREUR EXT MD"))</f>
        <v>ERREUR EXT MD</v>
      </c>
      <c r="BG38" s="237"/>
      <c r="BH38" s="238"/>
    </row>
    <row r="39" spans="1:60" ht="23" customHeight="1" x14ac:dyDescent="0.15">
      <c r="A39" s="217"/>
      <c r="B39" s="218"/>
      <c r="C39" s="218"/>
      <c r="D39" s="218"/>
      <c r="E39" s="219"/>
      <c r="F39" s="206"/>
      <c r="G39" s="206"/>
      <c r="H39" s="206"/>
      <c r="I39" s="89"/>
      <c r="J39" s="195"/>
      <c r="K39" s="196"/>
      <c r="L39" s="197"/>
      <c r="M39" s="252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4"/>
      <c r="AQ39" s="96"/>
      <c r="AR39" s="96"/>
      <c r="AS39" s="95"/>
      <c r="AT39" s="242" t="str">
        <f>IFERROR("NOMBRE DE LANCER , POUR RAPPEL "&amp;VLOOKUP(AL1&amp;AL3,DATA!AH:AQ,10,FALSE)&amp;" LANCES","")</f>
        <v/>
      </c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4"/>
      <c r="BF39" s="245" t="str">
        <f>IFERROR(IF(N30&lt;VLOOKUP(AL1&amp;AL3,DATA!AH:AR,11,FALSE),"! ERREUR NB",IF(N30&gt;VLOOKUP(AL1&amp;AL3,DATA!AH:AS,12,FALSE),"! ERREUR NB","")),"")</f>
        <v/>
      </c>
      <c r="BG39" s="246"/>
      <c r="BH39" s="247"/>
    </row>
    <row r="40" spans="1:60" ht="33" customHeight="1" x14ac:dyDescent="0.15">
      <c r="A40" s="210" t="str">
        <f>IF(OR(COUNTIF(A35:E39,A35)&gt;1,COUNTIF(A35:E39,A37)&gt;1,COUNTIF(A35:E39,A39)&gt;1,COUNTIF(F34:H40,#REF!)&gt;1,COUNTIF(F34:H40,F37)&gt;1),"Doublon(s) rouler(s) interdit(s)","")</f>
        <v/>
      </c>
      <c r="B40" s="210"/>
      <c r="C40" s="210"/>
      <c r="D40" s="210"/>
      <c r="E40" s="192" t="s">
        <v>1103</v>
      </c>
      <c r="F40" s="193"/>
      <c r="G40" s="194"/>
      <c r="H40" s="164" t="str">
        <f>IFERROR(ROUND(IF($AA$1="N1",(E34+E36+E38+H36+H34),IF($AA$1="N2",E34+E36+E38+H34,H34+E34+E36))/VLOOKUP($AA$1,DATA!B:H,7,FALSE),2),"Vérifier le respect des obligatoires")</f>
        <v>Vérifier le respect des obligatoires</v>
      </c>
      <c r="I40" s="89"/>
      <c r="J40" s="210" t="str">
        <f>IF(OR(COUNTIF(J35:L39,J35)&gt;1,COUNTIF(J35:L39,J37)&gt;1,COUNTIF(J35:L39,J39)&gt;1,COUNTIF(M35:AP39,M35)&gt;1,COUNTIF(M35:AP39,M37)&gt;1),"Doublon(s) maniement(s) interdit(s)","")</f>
        <v/>
      </c>
      <c r="K40" s="210"/>
      <c r="L40" s="192" t="s">
        <v>1122</v>
      </c>
      <c r="M40" s="193"/>
      <c r="N40" s="194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220" t="str">
        <f>IFERROR(ROUND(IF($AA$1="N1",(L34+L36+L38+AN36+AN34)/5,IF($AA$1="N2",(L34+L36+L38+AN34)/4,(AN34+L34+L36)/3)),2),"Vérifier le respect des obligatoires")</f>
        <v>Vérifier le respect des obligatoires</v>
      </c>
      <c r="AM40" s="220"/>
      <c r="AN40" s="220"/>
      <c r="AO40" s="220"/>
      <c r="AP40" s="221"/>
      <c r="AQ40" s="96"/>
      <c r="AR40" s="87"/>
      <c r="AS40" s="95"/>
      <c r="AT40" s="207" t="s">
        <v>183</v>
      </c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9"/>
      <c r="BF40" s="230"/>
      <c r="BG40" s="231"/>
      <c r="BH40" s="232"/>
    </row>
    <row r="41" spans="1:60" ht="23" customHeight="1" x14ac:dyDescent="0.15">
      <c r="A41" s="211"/>
      <c r="B41" s="211"/>
      <c r="C41" s="211"/>
      <c r="D41" s="211"/>
      <c r="E41" s="198" t="s">
        <v>1095</v>
      </c>
      <c r="F41" s="199"/>
      <c r="G41" s="200"/>
      <c r="H41" s="117"/>
      <c r="I41" s="95"/>
      <c r="J41" s="211"/>
      <c r="K41" s="211"/>
      <c r="L41" s="198" t="s">
        <v>1121</v>
      </c>
      <c r="M41" s="199"/>
      <c r="N41" s="200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3"/>
      <c r="AM41" s="153"/>
      <c r="AN41" s="153"/>
      <c r="AO41" s="153"/>
      <c r="AP41" s="154"/>
      <c r="AQ41" s="87"/>
      <c r="AR41" s="87"/>
      <c r="AS41" s="95"/>
      <c r="AT41" s="183" t="s">
        <v>1125</v>
      </c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5"/>
      <c r="BF41" s="320"/>
      <c r="BG41" s="321"/>
      <c r="BH41" s="322"/>
    </row>
    <row r="42" spans="1:60" ht="22" customHeight="1" thickBot="1" x14ac:dyDescent="0.2">
      <c r="A42" s="211"/>
      <c r="B42" s="211"/>
      <c r="C42" s="211"/>
      <c r="D42" s="211"/>
      <c r="E42" s="201" t="s">
        <v>1096</v>
      </c>
      <c r="F42" s="202"/>
      <c r="G42" s="203"/>
      <c r="H42" s="117"/>
      <c r="I42" s="95"/>
      <c r="J42" s="211"/>
      <c r="K42" s="211"/>
      <c r="L42" s="224" t="s">
        <v>1096</v>
      </c>
      <c r="M42" s="225"/>
      <c r="N42" s="226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3"/>
      <c r="AM42" s="153"/>
      <c r="AN42" s="153"/>
      <c r="AO42" s="153"/>
      <c r="AP42" s="154"/>
      <c r="AQ42" s="87"/>
      <c r="AR42" s="87"/>
      <c r="AS42" s="95"/>
      <c r="AT42" s="183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5"/>
      <c r="BF42" s="320"/>
      <c r="BG42" s="321"/>
      <c r="BH42" s="322"/>
    </row>
    <row r="43" spans="1:60" ht="39" customHeight="1" thickBot="1" x14ac:dyDescent="0.25">
      <c r="A43" s="211"/>
      <c r="B43" s="211"/>
      <c r="C43" s="211"/>
      <c r="D43" s="211"/>
      <c r="E43" s="189" t="s">
        <v>411</v>
      </c>
      <c r="F43" s="190"/>
      <c r="G43" s="191"/>
      <c r="H43" s="118"/>
      <c r="I43" s="95"/>
      <c r="J43" s="211"/>
      <c r="K43" s="211"/>
      <c r="L43" s="189" t="s">
        <v>1124</v>
      </c>
      <c r="M43" s="190"/>
      <c r="N43" s="191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204"/>
      <c r="AM43" s="204"/>
      <c r="AN43" s="204"/>
      <c r="AO43" s="204"/>
      <c r="AP43" s="205"/>
      <c r="AQ43" s="162"/>
      <c r="AR43" s="95"/>
      <c r="AS43" s="95"/>
      <c r="AT43" s="186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8"/>
      <c r="BF43" s="323"/>
      <c r="BG43" s="324"/>
      <c r="BH43" s="325"/>
    </row>
    <row r="44" spans="1:60" ht="24" customHeight="1" x14ac:dyDescent="0.15">
      <c r="A44" s="102"/>
    </row>
    <row r="46" spans="1:60" ht="13.5" customHeight="1" x14ac:dyDescent="0.15"/>
  </sheetData>
  <sheetProtection algorithmName="SHA-512" hashValue="J9wAEKCaTk3+xM6zyWF+ZnmnP3iBk2svdU+4yt3SI0jgvuon0+B2X6vQGBIejp6Ne5YrkwVIvdRceVlTvR1tzQ==" saltValue="NZgKS9+nWhMeejXX3DoUNQ==" spinCount="100000" sheet="1" selectLockedCells="1"/>
  <mergeCells count="254">
    <mergeCell ref="BF41:BH43"/>
    <mergeCell ref="L41:N41"/>
    <mergeCell ref="F1:M1"/>
    <mergeCell ref="AL1:BH1"/>
    <mergeCell ref="F2:M2"/>
    <mergeCell ref="F3:M3"/>
    <mergeCell ref="AL3:BH3"/>
    <mergeCell ref="B5:N5"/>
    <mergeCell ref="AL5:BH5"/>
    <mergeCell ref="Q6:Q8"/>
    <mergeCell ref="R6:R8"/>
    <mergeCell ref="T6:T8"/>
    <mergeCell ref="U6:U8"/>
    <mergeCell ref="V6:V8"/>
    <mergeCell ref="W6:W8"/>
    <mergeCell ref="B6:C8"/>
    <mergeCell ref="D6:E7"/>
    <mergeCell ref="F6:L8"/>
    <mergeCell ref="M6:M7"/>
    <mergeCell ref="N6:N8"/>
    <mergeCell ref="O6:O28"/>
    <mergeCell ref="D8:E8"/>
    <mergeCell ref="B9:B12"/>
    <mergeCell ref="N9:N10"/>
    <mergeCell ref="AD6:AD8"/>
    <mergeCell ref="AE6:AE8"/>
    <mergeCell ref="AF6:AF8"/>
    <mergeCell ref="AG6:AG8"/>
    <mergeCell ref="AH6:AH8"/>
    <mergeCell ref="AI6:AI8"/>
    <mergeCell ref="X6:X8"/>
    <mergeCell ref="Y6:Y8"/>
    <mergeCell ref="Z6:Z8"/>
    <mergeCell ref="AA6:AA8"/>
    <mergeCell ref="AB6:AB8"/>
    <mergeCell ref="AC6:AC8"/>
    <mergeCell ref="AR6:AR7"/>
    <mergeCell ref="AS6:AS7"/>
    <mergeCell ref="AT6:BE6"/>
    <mergeCell ref="BF6:BF8"/>
    <mergeCell ref="BG6:BG8"/>
    <mergeCell ref="BH6:BH8"/>
    <mergeCell ref="AL6:AL7"/>
    <mergeCell ref="AM6:AM7"/>
    <mergeCell ref="AN6:AN7"/>
    <mergeCell ref="AO6:AO7"/>
    <mergeCell ref="AP6:AP7"/>
    <mergeCell ref="AQ6:AQ7"/>
    <mergeCell ref="AL9:AN10"/>
    <mergeCell ref="AO9:AQ10"/>
    <mergeCell ref="AR9:AS10"/>
    <mergeCell ref="A11:A12"/>
    <mergeCell ref="D11:E11"/>
    <mergeCell ref="F11:L11"/>
    <mergeCell ref="N11:N12"/>
    <mergeCell ref="AL11:AL12"/>
    <mergeCell ref="AM11:AM12"/>
    <mergeCell ref="AO11:AO12"/>
    <mergeCell ref="AP11:AP12"/>
    <mergeCell ref="AQ11:AQ12"/>
    <mergeCell ref="AR11:AR12"/>
    <mergeCell ref="AS11:AS12"/>
    <mergeCell ref="BH11:BH12"/>
    <mergeCell ref="A13:A14"/>
    <mergeCell ref="B13:B16"/>
    <mergeCell ref="N13:N14"/>
    <mergeCell ref="AL13:AN14"/>
    <mergeCell ref="AO13:AQ14"/>
    <mergeCell ref="AR13:AS14"/>
    <mergeCell ref="A15:A16"/>
    <mergeCell ref="D15:E15"/>
    <mergeCell ref="F15:L15"/>
    <mergeCell ref="N15:N16"/>
    <mergeCell ref="AL15:AL16"/>
    <mergeCell ref="AM15:AM16"/>
    <mergeCell ref="AO15:AO16"/>
    <mergeCell ref="AP15:AP16"/>
    <mergeCell ref="AQ15:AQ16"/>
    <mergeCell ref="AR15:AR16"/>
    <mergeCell ref="AS15:AS16"/>
    <mergeCell ref="BH15:BH16"/>
    <mergeCell ref="BE15:BE16"/>
    <mergeCell ref="BD15:BD16"/>
    <mergeCell ref="BC15:BC16"/>
    <mergeCell ref="AT15:AT16"/>
    <mergeCell ref="AU15:AU16"/>
    <mergeCell ref="A17:A18"/>
    <mergeCell ref="B17:B20"/>
    <mergeCell ref="N17:N18"/>
    <mergeCell ref="AL17:AN18"/>
    <mergeCell ref="AO17:AQ18"/>
    <mergeCell ref="AR17:AS18"/>
    <mergeCell ref="A19:A20"/>
    <mergeCell ref="AQ19:AQ20"/>
    <mergeCell ref="AR19:AR20"/>
    <mergeCell ref="AS19:AS20"/>
    <mergeCell ref="D19:E19"/>
    <mergeCell ref="BH19:BH20"/>
    <mergeCell ref="A21:A22"/>
    <mergeCell ref="B21:B24"/>
    <mergeCell ref="N21:N22"/>
    <mergeCell ref="AL21:AN22"/>
    <mergeCell ref="AO21:AQ22"/>
    <mergeCell ref="AR21:AS22"/>
    <mergeCell ref="F19:L19"/>
    <mergeCell ref="N19:N20"/>
    <mergeCell ref="AL19:AL20"/>
    <mergeCell ref="AM19:AM20"/>
    <mergeCell ref="AO19:AO20"/>
    <mergeCell ref="AP19:AP20"/>
    <mergeCell ref="AO23:AO24"/>
    <mergeCell ref="AP23:AP24"/>
    <mergeCell ref="AQ23:AQ24"/>
    <mergeCell ref="AR23:AR24"/>
    <mergeCell ref="AS23:AS24"/>
    <mergeCell ref="BH23:BH24"/>
    <mergeCell ref="A23:A24"/>
    <mergeCell ref="D23:E23"/>
    <mergeCell ref="F23:L23"/>
    <mergeCell ref="N23:N24"/>
    <mergeCell ref="AL23:AL24"/>
    <mergeCell ref="A25:A26"/>
    <mergeCell ref="B25:B28"/>
    <mergeCell ref="N25:N26"/>
    <mergeCell ref="AL25:AN26"/>
    <mergeCell ref="AO25:AQ26"/>
    <mergeCell ref="AR25:AS26"/>
    <mergeCell ref="A27:A28"/>
    <mergeCell ref="D27:E27"/>
    <mergeCell ref="F27:L27"/>
    <mergeCell ref="N27:N28"/>
    <mergeCell ref="AS27:AS28"/>
    <mergeCell ref="BH27:BH28"/>
    <mergeCell ref="AL29:AS29"/>
    <mergeCell ref="AT29:BE29"/>
    <mergeCell ref="BF29:BG29"/>
    <mergeCell ref="AT30:BE30"/>
    <mergeCell ref="BF30:BG30"/>
    <mergeCell ref="AL27:AL28"/>
    <mergeCell ref="AM27:AM28"/>
    <mergeCell ref="AO27:AO28"/>
    <mergeCell ref="AP27:AP28"/>
    <mergeCell ref="AQ27:AQ28"/>
    <mergeCell ref="AR27:AR28"/>
    <mergeCell ref="AT27:AT28"/>
    <mergeCell ref="AU27:AU28"/>
    <mergeCell ref="AV27:AV28"/>
    <mergeCell ref="AW27:AW28"/>
    <mergeCell ref="AX27:AX28"/>
    <mergeCell ref="AY27:AY28"/>
    <mergeCell ref="AZ27:AZ28"/>
    <mergeCell ref="BA27:BA28"/>
    <mergeCell ref="BB27:BB28"/>
    <mergeCell ref="BC27:BC28"/>
    <mergeCell ref="BD27:BD28"/>
    <mergeCell ref="BE27:BE28"/>
    <mergeCell ref="BF34:BH34"/>
    <mergeCell ref="A34:C34"/>
    <mergeCell ref="AT35:BE35"/>
    <mergeCell ref="BF35:BH35"/>
    <mergeCell ref="O31:AS31"/>
    <mergeCell ref="AT31:BE31"/>
    <mergeCell ref="BF31:BG31"/>
    <mergeCell ref="AT32:BE32"/>
    <mergeCell ref="BF32:BH32"/>
    <mergeCell ref="AT33:BE33"/>
    <mergeCell ref="BF33:BH33"/>
    <mergeCell ref="M35:AP35"/>
    <mergeCell ref="AN34:AP34"/>
    <mergeCell ref="J35:L35"/>
    <mergeCell ref="AT34:BE34"/>
    <mergeCell ref="BF40:BH40"/>
    <mergeCell ref="AT38:BE38"/>
    <mergeCell ref="BF38:BH38"/>
    <mergeCell ref="A38:C38"/>
    <mergeCell ref="F38:H38"/>
    <mergeCell ref="AT39:BE39"/>
    <mergeCell ref="BF39:BH39"/>
    <mergeCell ref="F37:H37"/>
    <mergeCell ref="AT36:BE36"/>
    <mergeCell ref="BF36:BH36"/>
    <mergeCell ref="A36:C36"/>
    <mergeCell ref="AT37:BE37"/>
    <mergeCell ref="BF37:BH37"/>
    <mergeCell ref="M37:AP37"/>
    <mergeCell ref="AN36:AP36"/>
    <mergeCell ref="M39:AP39"/>
    <mergeCell ref="D30:E30"/>
    <mergeCell ref="A35:E35"/>
    <mergeCell ref="A37:E37"/>
    <mergeCell ref="A39:E39"/>
    <mergeCell ref="F35:H35"/>
    <mergeCell ref="J37:L37"/>
    <mergeCell ref="AL40:AP40"/>
    <mergeCell ref="AN38:AP38"/>
    <mergeCell ref="L42:N42"/>
    <mergeCell ref="O30:AS30"/>
    <mergeCell ref="A40:D43"/>
    <mergeCell ref="AT41:BE43"/>
    <mergeCell ref="E43:G43"/>
    <mergeCell ref="E40:G40"/>
    <mergeCell ref="L40:N40"/>
    <mergeCell ref="L43:N43"/>
    <mergeCell ref="J39:L39"/>
    <mergeCell ref="E41:G41"/>
    <mergeCell ref="E42:G42"/>
    <mergeCell ref="AL43:AP43"/>
    <mergeCell ref="F39:H39"/>
    <mergeCell ref="AT40:BE40"/>
    <mergeCell ref="J40:K43"/>
    <mergeCell ref="BC19:BC20"/>
    <mergeCell ref="BD19:BD20"/>
    <mergeCell ref="BE19:BE20"/>
    <mergeCell ref="AT23:AT24"/>
    <mergeCell ref="AU23:AU24"/>
    <mergeCell ref="AV23:AV24"/>
    <mergeCell ref="AW23:AW24"/>
    <mergeCell ref="AX23:AX24"/>
    <mergeCell ref="AY23:AY24"/>
    <mergeCell ref="AZ23:AZ24"/>
    <mergeCell ref="BA23:BA24"/>
    <mergeCell ref="BB23:BB24"/>
    <mergeCell ref="BC23:BC24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BD23:BD24"/>
    <mergeCell ref="BE23:BE24"/>
    <mergeCell ref="BB19:BB20"/>
    <mergeCell ref="BE11:BE12"/>
    <mergeCell ref="BD11:BD12"/>
    <mergeCell ref="BC11:BC12"/>
    <mergeCell ref="BB11:BB12"/>
    <mergeCell ref="BA11:BA12"/>
    <mergeCell ref="AZ11:AZ12"/>
    <mergeCell ref="AY11:AY12"/>
    <mergeCell ref="AX11:AX12"/>
    <mergeCell ref="AW11:AW12"/>
    <mergeCell ref="AM23:AM24"/>
    <mergeCell ref="AV15:AV16"/>
    <mergeCell ref="AW15:AW16"/>
    <mergeCell ref="AX15:AX16"/>
    <mergeCell ref="AY15:AY16"/>
    <mergeCell ref="AZ15:AZ16"/>
    <mergeCell ref="BA15:BA16"/>
    <mergeCell ref="BB15:BB16"/>
    <mergeCell ref="AT11:AT12"/>
    <mergeCell ref="AV11:AV12"/>
    <mergeCell ref="AU11:AU12"/>
  </mergeCells>
  <conditionalFormatting sqref="A34:A39 F39">
    <cfRule type="cellIs" dxfId="27" priority="20" operator="equal">
      <formula>"FPI non conforme"</formula>
    </cfRule>
  </conditionalFormatting>
  <conditionalFormatting sqref="A39:E39">
    <cfRule type="expression" dxfId="26" priority="13">
      <formula>$A$38="R vertical 3 : "</formula>
    </cfRule>
  </conditionalFormatting>
  <conditionalFormatting sqref="D8:E8">
    <cfRule type="cellIs" dxfId="25" priority="29" operator="equal">
      <formula>"DOUBLON ENGAGEMENT"</formula>
    </cfRule>
  </conditionalFormatting>
  <conditionalFormatting sqref="F34">
    <cfRule type="cellIs" dxfId="24" priority="19" operator="equal">
      <formula>"FPI non conforme"</formula>
    </cfRule>
  </conditionalFormatting>
  <conditionalFormatting sqref="F36">
    <cfRule type="cellIs" dxfId="23" priority="18" operator="equal">
      <formula>"FPI non conforme"</formula>
    </cfRule>
  </conditionalFormatting>
  <conditionalFormatting sqref="F37:H37">
    <cfRule type="expression" dxfId="22" priority="12">
      <formula>$F$36="R horizontal 2 : "</formula>
    </cfRule>
  </conditionalFormatting>
  <conditionalFormatting sqref="J34 J36 J38">
    <cfRule type="cellIs" dxfId="21" priority="17" operator="equal">
      <formula>"FPI non conforme"</formula>
    </cfRule>
  </conditionalFormatting>
  <conditionalFormatting sqref="J39:L39">
    <cfRule type="expression" dxfId="20" priority="11">
      <formula>$J$38="MG vertical 3 : "</formula>
    </cfRule>
  </conditionalFormatting>
  <conditionalFormatting sqref="M8">
    <cfRule type="cellIs" dxfId="19" priority="28" operator="equal">
      <formula>"DOUBLON RATTRAPAGE"</formula>
    </cfRule>
  </conditionalFormatting>
  <conditionalFormatting sqref="M34">
    <cfRule type="cellIs" dxfId="18" priority="16" operator="equal">
      <formula>"FPI non conforme"</formula>
    </cfRule>
  </conditionalFormatting>
  <conditionalFormatting sqref="M36">
    <cfRule type="cellIs" dxfId="17" priority="15" operator="equal">
      <formula>"FPI non conforme"</formula>
    </cfRule>
  </conditionalFormatting>
  <conditionalFormatting sqref="M37:AP37">
    <cfRule type="expression" dxfId="16" priority="10">
      <formula>$M$36="MG horizontal 2 : "</formula>
    </cfRule>
  </conditionalFormatting>
  <conditionalFormatting sqref="N9:N10">
    <cfRule type="cellIs" dxfId="15" priority="27" operator="greaterThan">
      <formula>$W$2</formula>
    </cfRule>
  </conditionalFormatting>
  <conditionalFormatting sqref="N13:N14">
    <cfRule type="cellIs" dxfId="14" priority="25" operator="greaterThan">
      <formula>$W$2</formula>
    </cfRule>
  </conditionalFormatting>
  <conditionalFormatting sqref="N17:N18">
    <cfRule type="cellIs" dxfId="13" priority="24" operator="greaterThan">
      <formula>$W$2</formula>
    </cfRule>
  </conditionalFormatting>
  <conditionalFormatting sqref="N21:N22">
    <cfRule type="cellIs" dxfId="12" priority="23" operator="greaterThan">
      <formula>$W$2</formula>
    </cfRule>
  </conditionalFormatting>
  <conditionalFormatting sqref="N25:N26">
    <cfRule type="cellIs" dxfId="11" priority="22" operator="greaterThan">
      <formula>$W$2</formula>
    </cfRule>
  </conditionalFormatting>
  <conditionalFormatting sqref="AL1:BH1 AL3:BH3">
    <cfRule type="containsBlanks" dxfId="10" priority="26">
      <formula>LEN(TRIM(AL1))=0</formula>
    </cfRule>
    <cfRule type="containsText" dxfId="9" priority="21" operator="containsText" text="choix">
      <formula>NOT(ISERROR(SEARCH("choix",AL1)))</formula>
    </cfRule>
  </conditionalFormatting>
  <conditionalFormatting sqref="AT37 BF37">
    <cfRule type="cellIs" dxfId="8" priority="31" operator="equal">
      <formula>"ERREUR HOR"</formula>
    </cfRule>
  </conditionalFormatting>
  <conditionalFormatting sqref="AT38 BF38">
    <cfRule type="cellIs" dxfId="7" priority="30" operator="equal">
      <formula>"ERREUR EXT MD"</formula>
    </cfRule>
  </conditionalFormatting>
  <conditionalFormatting sqref="AT39 BF39">
    <cfRule type="cellIs" dxfId="6" priority="32" operator="equal">
      <formula>"! ERREUR NB"</formula>
    </cfRule>
  </conditionalFormatting>
  <conditionalFormatting sqref="AT11:BE12">
    <cfRule type="cellIs" dxfId="5" priority="9" operator="equal">
      <formula>"X"</formula>
    </cfRule>
  </conditionalFormatting>
  <conditionalFormatting sqref="AT15:BE16">
    <cfRule type="cellIs" dxfId="4" priority="4" operator="equal">
      <formula>"X"</formula>
    </cfRule>
  </conditionalFormatting>
  <conditionalFormatting sqref="AT19:BE20">
    <cfRule type="cellIs" dxfId="3" priority="3" operator="equal">
      <formula>"X"</formula>
    </cfRule>
  </conditionalFormatting>
  <conditionalFormatting sqref="AT23:BE24">
    <cfRule type="cellIs" dxfId="2" priority="2" operator="equal">
      <formula>"X"</formula>
    </cfRule>
  </conditionalFormatting>
  <conditionalFormatting sqref="AT27:BE28">
    <cfRule type="cellIs" dxfId="1" priority="1" operator="equal">
      <formula>"X"</formula>
    </cfRule>
  </conditionalFormatting>
  <conditionalFormatting sqref="BF32:BF36">
    <cfRule type="cellIs" dxfId="0" priority="33" operator="equal">
      <formula>"ERREUR NATURE"</formula>
    </cfRule>
    <cfRule type="colorScale" priority="34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J35 K34 J37" xr:uid="{5B59CF06-F979-4951-9A89-C0A959D65EB0}">
      <formula1>INDIRECT($AJ$3)</formula1>
    </dataValidation>
    <dataValidation type="list" allowBlank="1" showInputMessage="1" showErrorMessage="1" sqref="M35 N36:AM36 N34:AM34" xr:uid="{DFF6075A-D5BD-4FCC-9599-A0A7C0E93664}">
      <formula1>INDIRECT($AJ$4)</formula1>
    </dataValidation>
    <dataValidation type="list" allowBlank="1" showInputMessage="1" showErrorMessage="1" sqref="F35:H35 F37:H37" xr:uid="{256233E4-7E3F-4778-A8EC-DDE90F681BD3}">
      <formula1>INDIRECT($AJ$2)</formula1>
    </dataValidation>
    <dataValidation type="list" allowBlank="1" showInputMessage="1" showErrorMessage="1" sqref="A37:E37 A35:E35" xr:uid="{19C38F5A-C42F-40C1-BD3E-46D6CC00C202}">
      <formula1>INDIRECT($AJ$1)</formula1>
    </dataValidation>
    <dataValidation type="list" allowBlank="1" showInputMessage="1" showErrorMessage="1" sqref="M9 M25 M21 M17 M13" xr:uid="{BE6AF4A4-9A87-495C-911C-F67636B4FDA3}">
      <formula1>INDIRECT($AK$2)</formula1>
    </dataValidation>
    <dataValidation type="list" allowBlank="1" showInputMessage="1" showErrorMessage="1" sqref="D9:E9 D25:E25 D21:E21 D17:E17 D13:E13" xr:uid="{528F371C-7F83-46DC-A261-52A5D08EB564}">
      <formula1>INDIRECT($AK$1)</formula1>
    </dataValidation>
    <dataValidation type="list" allowBlank="1" showInputMessage="1" showErrorMessage="1" sqref="AL1" xr:uid="{F7DE14D2-ED82-4D8C-99C8-75CD98718DF2}">
      <formula1>FILIERE</formula1>
    </dataValidation>
    <dataValidation type="list" allowBlank="1" showInputMessage="1" showErrorMessage="1" sqref="AL3" xr:uid="{FF2651FE-1858-4081-A9A3-85D0077B394B}">
      <formula1>INDIRECT($AL$1)</formula1>
    </dataValidation>
    <dataValidation type="list" allowBlank="1" showInputMessage="1" showErrorMessage="1" sqref="F25:L25 F21:L21 F13:L13 F17:L17 F9:I9 K9:L9" xr:uid="{9ED5F964-84DD-4F8B-B21A-9F838B4BD0DE}">
      <formula1>Elements_liste</formula1>
    </dataValidation>
  </dataValidations>
  <pageMargins left="0.23" right="0.2" top="0.42" bottom="0.35" header="0.21" footer="0.31496062992125984"/>
  <pageSetup paperSize="9" scale="3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24B5-BE99-4A10-8CA1-D49D0E676565}">
  <sheetPr codeName="Feuil3"/>
  <dimension ref="A1:CZ745"/>
  <sheetViews>
    <sheetView topLeftCell="BH1" zoomScale="120" zoomScaleNormal="120" workbookViewId="0">
      <pane ySplit="1" topLeftCell="A2" activePane="bottomLeft" state="frozen"/>
      <selection sqref="A1:XFD1048576"/>
      <selection pane="bottomLeft" activeCell="BK13" sqref="BK13"/>
    </sheetView>
  </sheetViews>
  <sheetFormatPr baseColWidth="10" defaultColWidth="10.6640625" defaultRowHeight="13" x14ac:dyDescent="0.15"/>
  <cols>
    <col min="1" max="10" width="10.6640625" style="9"/>
    <col min="11" max="11" width="42.1640625" style="9" bestFit="1" customWidth="1"/>
    <col min="12" max="28" width="10.6640625" style="9"/>
    <col min="29" max="29" width="18.6640625" style="9" bestFit="1" customWidth="1"/>
    <col min="30" max="32" width="18.5" style="9" bestFit="1" customWidth="1"/>
    <col min="33" max="33" width="3.33203125" style="9" customWidth="1"/>
    <col min="34" max="34" width="39.33203125" style="9" customWidth="1"/>
    <col min="35" max="35" width="9.5" style="9" customWidth="1"/>
    <col min="36" max="36" width="10.6640625" style="9" customWidth="1"/>
    <col min="37" max="40" width="21.1640625" style="9" customWidth="1"/>
    <col min="41" max="41" width="46" style="9" customWidth="1"/>
    <col min="42" max="42" width="31.1640625" style="9" customWidth="1"/>
    <col min="43" max="43" width="7.5" style="9" customWidth="1"/>
    <col min="44" max="44" width="6.33203125" style="9" customWidth="1"/>
    <col min="45" max="45" width="6.6640625" style="9" customWidth="1"/>
    <col min="46" max="46" width="17.1640625" style="9" customWidth="1"/>
    <col min="47" max="47" width="22" style="9" customWidth="1"/>
    <col min="48" max="48" width="4" style="9" customWidth="1"/>
    <col min="49" max="50" width="22" style="9" customWidth="1"/>
    <col min="51" max="51" width="4" style="9" customWidth="1"/>
    <col min="52" max="52" width="35.6640625" style="9" customWidth="1"/>
    <col min="53" max="54" width="32.33203125" style="9" customWidth="1"/>
    <col min="55" max="55" width="26" style="9" customWidth="1"/>
    <col min="56" max="56" width="12.5" style="9" bestFit="1" customWidth="1"/>
    <col min="57" max="57" width="71.33203125" style="9" bestFit="1" customWidth="1"/>
    <col min="58" max="60" width="12.5" style="9" customWidth="1"/>
    <col min="61" max="61" width="2.33203125" style="9" customWidth="1"/>
    <col min="62" max="62" width="59.6640625" style="9" customWidth="1"/>
    <col min="63" max="63" width="69.5" style="9" bestFit="1" customWidth="1"/>
    <col min="64" max="64" width="15" style="9" bestFit="1" customWidth="1"/>
    <col min="65" max="67" width="10.6640625" style="9"/>
    <col min="68" max="68" width="4.1640625" style="9" customWidth="1"/>
    <col min="69" max="69" width="69.1640625" style="9" bestFit="1" customWidth="1"/>
    <col min="70" max="70" width="66.5" style="9" bestFit="1" customWidth="1"/>
    <col min="71" max="71" width="61.33203125" style="9" bestFit="1" customWidth="1"/>
    <col min="72" max="72" width="25.6640625" style="9" customWidth="1"/>
    <col min="73" max="73" width="9.6640625" style="9" bestFit="1" customWidth="1"/>
    <col min="74" max="74" width="69.1640625" style="9" bestFit="1" customWidth="1"/>
    <col min="75" max="75" width="10.5" style="9" bestFit="1" customWidth="1"/>
    <col min="76" max="77" width="10.6640625" style="9"/>
    <col min="78" max="78" width="31.5" style="9" bestFit="1" customWidth="1"/>
    <col min="79" max="81" width="10.6640625" style="9"/>
    <col min="82" max="82" width="18.5" style="9" customWidth="1"/>
    <col min="83" max="87" width="10.6640625" style="9"/>
    <col min="88" max="88" width="12.83203125" style="9" customWidth="1"/>
    <col min="89" max="89" width="14.83203125" style="9" bestFit="1" customWidth="1"/>
    <col min="90" max="90" width="7.83203125" style="9" customWidth="1"/>
    <col min="91" max="91" width="11" style="9" customWidth="1"/>
    <col min="92" max="16384" width="10.6640625" style="9"/>
  </cols>
  <sheetData>
    <row r="1" spans="1:104" s="5" customFormat="1" ht="17.25" customHeight="1" x14ac:dyDescent="0.2">
      <c r="A1" s="2" t="s">
        <v>51</v>
      </c>
      <c r="B1" s="2" t="s">
        <v>52</v>
      </c>
      <c r="C1" s="2" t="s">
        <v>53</v>
      </c>
      <c r="D1" s="2" t="s">
        <v>54</v>
      </c>
      <c r="E1" s="3" t="s">
        <v>289</v>
      </c>
      <c r="F1" s="3" t="s">
        <v>290</v>
      </c>
      <c r="G1" s="3" t="s">
        <v>297</v>
      </c>
      <c r="H1" s="3" t="s">
        <v>348</v>
      </c>
      <c r="I1" s="3" t="s">
        <v>375</v>
      </c>
      <c r="J1" s="3" t="s">
        <v>376</v>
      </c>
      <c r="K1" s="3" t="s">
        <v>347</v>
      </c>
      <c r="L1" s="3"/>
      <c r="M1" s="3"/>
      <c r="N1" s="3"/>
      <c r="O1" s="2" t="s">
        <v>2</v>
      </c>
      <c r="P1" s="2" t="s">
        <v>3</v>
      </c>
      <c r="Q1" s="2" t="s">
        <v>4</v>
      </c>
      <c r="R1" s="2" t="s">
        <v>5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11</v>
      </c>
      <c r="Y1" s="2" t="s">
        <v>55</v>
      </c>
      <c r="Z1" s="2" t="s">
        <v>56</v>
      </c>
      <c r="AA1" s="2" t="s">
        <v>57</v>
      </c>
      <c r="AB1" s="2" t="s">
        <v>51</v>
      </c>
      <c r="AC1" s="2"/>
      <c r="AD1" s="3"/>
      <c r="AE1" s="3"/>
      <c r="AF1" s="3" t="s">
        <v>58</v>
      </c>
      <c r="AG1" s="4"/>
      <c r="AH1" s="2"/>
      <c r="AI1" s="2" t="s">
        <v>59</v>
      </c>
      <c r="AJ1" s="2" t="s">
        <v>60</v>
      </c>
      <c r="AK1" s="2" t="s">
        <v>61</v>
      </c>
      <c r="AL1" s="2" t="s">
        <v>62</v>
      </c>
      <c r="AM1" s="2" t="s">
        <v>63</v>
      </c>
      <c r="AN1" s="2" t="s">
        <v>64</v>
      </c>
      <c r="AO1" s="3"/>
      <c r="AP1" s="3"/>
      <c r="AQ1" s="2" t="s">
        <v>65</v>
      </c>
      <c r="AR1" s="2" t="s">
        <v>66</v>
      </c>
      <c r="AS1" s="2" t="s">
        <v>67</v>
      </c>
      <c r="AT1" s="2" t="s">
        <v>68</v>
      </c>
      <c r="AU1" s="2" t="s">
        <v>69</v>
      </c>
      <c r="AV1" s="4"/>
      <c r="AW1" s="2"/>
      <c r="AX1" s="2"/>
      <c r="AY1" s="4"/>
      <c r="AZ1" s="2"/>
      <c r="BA1" s="2"/>
      <c r="BB1" s="2" t="s">
        <v>72</v>
      </c>
      <c r="BC1" s="21" t="s">
        <v>186</v>
      </c>
      <c r="BD1" s="22" t="s">
        <v>73</v>
      </c>
      <c r="BE1" s="21" t="s">
        <v>74</v>
      </c>
      <c r="BF1" s="22" t="s">
        <v>75</v>
      </c>
      <c r="BG1" s="22" t="s">
        <v>76</v>
      </c>
      <c r="BH1" s="22" t="s">
        <v>77</v>
      </c>
      <c r="BI1" s="4"/>
      <c r="BJ1" s="2" t="s">
        <v>78</v>
      </c>
      <c r="BK1" s="3" t="s">
        <v>79</v>
      </c>
      <c r="BL1" s="3" t="s">
        <v>80</v>
      </c>
      <c r="BM1" s="3" t="s">
        <v>329</v>
      </c>
      <c r="BN1" s="3" t="s">
        <v>330</v>
      </c>
      <c r="BO1" s="3" t="s">
        <v>331</v>
      </c>
      <c r="BP1" s="4"/>
      <c r="BQ1" s="2"/>
      <c r="BR1" s="2"/>
      <c r="BS1" s="2" t="s">
        <v>83</v>
      </c>
      <c r="BT1" s="3" t="s">
        <v>187</v>
      </c>
      <c r="BU1" s="2" t="s">
        <v>84</v>
      </c>
      <c r="BV1" s="2" t="s">
        <v>85</v>
      </c>
      <c r="BW1" s="3" t="s">
        <v>205</v>
      </c>
      <c r="BX1" s="3" t="s">
        <v>206</v>
      </c>
      <c r="BZ1" s="107" t="s">
        <v>291</v>
      </c>
      <c r="CA1" s="107" t="s">
        <v>307</v>
      </c>
      <c r="CB1" s="107" t="s">
        <v>294</v>
      </c>
      <c r="CC1" s="107" t="s">
        <v>308</v>
      </c>
      <c r="CD1" s="116" t="s">
        <v>292</v>
      </c>
      <c r="CE1" s="116" t="s">
        <v>310</v>
      </c>
      <c r="CF1" s="116" t="s">
        <v>295</v>
      </c>
      <c r="CG1" s="116" t="s">
        <v>311</v>
      </c>
      <c r="CH1" s="107" t="s">
        <v>296</v>
      </c>
      <c r="CI1" s="107" t="s">
        <v>312</v>
      </c>
      <c r="CJ1" s="107" t="s">
        <v>293</v>
      </c>
      <c r="CK1" s="107" t="s">
        <v>313</v>
      </c>
      <c r="CL1" s="108"/>
      <c r="CM1" s="107" t="s">
        <v>367</v>
      </c>
      <c r="CN1" s="107" t="s">
        <v>341</v>
      </c>
      <c r="CO1" s="107" t="s">
        <v>368</v>
      </c>
      <c r="CP1" s="107" t="s">
        <v>341</v>
      </c>
      <c r="CQ1" s="107" t="s">
        <v>371</v>
      </c>
      <c r="CR1" s="107" t="s">
        <v>344</v>
      </c>
      <c r="CS1" s="107" t="s">
        <v>372</v>
      </c>
      <c r="CT1" s="107" t="s">
        <v>344</v>
      </c>
      <c r="CU1" s="107" t="s">
        <v>369</v>
      </c>
      <c r="CV1" s="107" t="s">
        <v>345</v>
      </c>
      <c r="CW1" s="107" t="s">
        <v>370</v>
      </c>
      <c r="CX1" s="107" t="s">
        <v>345</v>
      </c>
      <c r="CY1" s="107" t="s">
        <v>824</v>
      </c>
      <c r="CZ1" s="107" t="s">
        <v>1089</v>
      </c>
    </row>
    <row r="2" spans="1:104" ht="22" x14ac:dyDescent="0.2">
      <c r="A2" s="1"/>
      <c r="B2" s="1"/>
      <c r="C2" s="1" t="s">
        <v>70</v>
      </c>
      <c r="D2" s="1" t="s">
        <v>81</v>
      </c>
      <c r="E2" s="9" t="s">
        <v>291</v>
      </c>
      <c r="F2" s="9" t="s">
        <v>294</v>
      </c>
      <c r="G2" s="9" t="s">
        <v>298</v>
      </c>
      <c r="H2" s="9">
        <v>5</v>
      </c>
      <c r="I2" s="9" t="s">
        <v>369</v>
      </c>
      <c r="J2" s="9" t="s">
        <v>370</v>
      </c>
      <c r="K2" s="9" t="s">
        <v>823</v>
      </c>
      <c r="L2" s="9">
        <v>4</v>
      </c>
      <c r="M2" s="9" t="s">
        <v>6</v>
      </c>
      <c r="N2" s="9" t="s">
        <v>419</v>
      </c>
      <c r="O2" s="6" t="s">
        <v>55</v>
      </c>
      <c r="P2" s="6" t="s">
        <v>55</v>
      </c>
      <c r="Q2" s="6" t="s">
        <v>55</v>
      </c>
      <c r="R2" s="6" t="s">
        <v>55</v>
      </c>
      <c r="S2" s="6" t="s">
        <v>55</v>
      </c>
      <c r="T2" s="6" t="s">
        <v>57</v>
      </c>
      <c r="U2" s="6" t="s">
        <v>55</v>
      </c>
      <c r="V2" s="6" t="s">
        <v>55</v>
      </c>
      <c r="W2" s="6" t="s">
        <v>56</v>
      </c>
      <c r="X2" s="6" t="s">
        <v>55</v>
      </c>
      <c r="Y2" s="1">
        <v>0.5</v>
      </c>
      <c r="Z2" s="1">
        <v>0.5</v>
      </c>
      <c r="AA2" s="1">
        <v>1</v>
      </c>
      <c r="AB2" s="1" t="s">
        <v>87</v>
      </c>
      <c r="AC2" s="1"/>
      <c r="AD2" s="1"/>
      <c r="AE2" s="1"/>
      <c r="AF2" s="1" t="s">
        <v>87</v>
      </c>
      <c r="AG2" s="7"/>
      <c r="AH2" s="1" t="s">
        <v>88</v>
      </c>
      <c r="AI2" s="1" t="s">
        <v>89</v>
      </c>
      <c r="AJ2" s="1" t="s">
        <v>89</v>
      </c>
      <c r="AK2" s="9" t="s">
        <v>1120</v>
      </c>
      <c r="AL2" s="8" t="s">
        <v>91</v>
      </c>
      <c r="AM2" s="8" t="s">
        <v>91</v>
      </c>
      <c r="AN2" s="8" t="s">
        <v>91</v>
      </c>
      <c r="AO2" s="9" t="s">
        <v>91</v>
      </c>
      <c r="AP2" s="9" t="s">
        <v>91</v>
      </c>
      <c r="AQ2" s="10" t="s">
        <v>92</v>
      </c>
      <c r="AR2" s="10">
        <v>2</v>
      </c>
      <c r="AS2" s="10">
        <v>3</v>
      </c>
      <c r="AT2" s="17">
        <v>5.5</v>
      </c>
      <c r="AU2" s="9" t="s">
        <v>1090</v>
      </c>
      <c r="AV2" s="7"/>
      <c r="AW2" s="1" t="s">
        <v>89</v>
      </c>
      <c r="AX2" s="9">
        <v>1</v>
      </c>
      <c r="AY2" s="7"/>
      <c r="AZ2" s="15"/>
      <c r="BA2" s="15"/>
      <c r="BB2" s="15" t="s">
        <v>426</v>
      </c>
      <c r="BC2" s="15" t="s">
        <v>201</v>
      </c>
      <c r="BD2" s="15" t="s">
        <v>106</v>
      </c>
      <c r="BE2" s="15" t="s">
        <v>446</v>
      </c>
      <c r="BF2" s="15">
        <v>2.5</v>
      </c>
      <c r="BG2" s="15">
        <v>1</v>
      </c>
      <c r="BH2" s="15">
        <v>0</v>
      </c>
      <c r="BI2" s="7"/>
      <c r="BJ2" s="131" t="s">
        <v>93</v>
      </c>
      <c r="BK2" s="122" t="s">
        <v>449</v>
      </c>
      <c r="BL2" s="122" t="s">
        <v>179</v>
      </c>
      <c r="BM2" s="122">
        <v>1</v>
      </c>
      <c r="BN2" s="122"/>
      <c r="BO2" s="122"/>
      <c r="BP2" s="7"/>
      <c r="BQ2" s="16"/>
      <c r="BR2" s="16"/>
      <c r="BS2" s="16" t="s">
        <v>208</v>
      </c>
      <c r="BT2" s="122" t="s">
        <v>207</v>
      </c>
      <c r="BU2" s="122" t="s">
        <v>106</v>
      </c>
      <c r="BV2" s="122" t="s">
        <v>208</v>
      </c>
      <c r="BW2" s="122">
        <v>0</v>
      </c>
      <c r="BX2" s="122">
        <v>0</v>
      </c>
      <c r="BZ2" s="103" t="s">
        <v>482</v>
      </c>
      <c r="CA2" s="104">
        <v>2</v>
      </c>
      <c r="CB2" s="103" t="s">
        <v>517</v>
      </c>
      <c r="CC2" s="104">
        <v>2</v>
      </c>
      <c r="CD2" s="103" t="s">
        <v>464</v>
      </c>
      <c r="CE2" s="104">
        <v>2</v>
      </c>
      <c r="CF2" s="103" t="s">
        <v>508</v>
      </c>
      <c r="CG2" s="9">
        <v>2</v>
      </c>
      <c r="CH2" s="103" t="s">
        <v>457</v>
      </c>
      <c r="CI2" s="104">
        <v>2.5</v>
      </c>
      <c r="CJ2" s="103" t="s">
        <v>1112</v>
      </c>
      <c r="CK2" s="104">
        <v>2</v>
      </c>
      <c r="CL2" s="7"/>
      <c r="CM2" s="103" t="s">
        <v>333</v>
      </c>
      <c r="CN2" s="104">
        <v>2</v>
      </c>
      <c r="CO2" s="103" t="s">
        <v>525</v>
      </c>
      <c r="CP2" s="104">
        <v>2</v>
      </c>
      <c r="CQ2" s="103" t="s">
        <v>543</v>
      </c>
      <c r="CR2" s="104">
        <v>2</v>
      </c>
      <c r="CS2" s="103" t="s">
        <v>337</v>
      </c>
      <c r="CT2" s="104">
        <v>2</v>
      </c>
      <c r="CU2" s="103" t="s">
        <v>557</v>
      </c>
      <c r="CV2" s="104">
        <v>2</v>
      </c>
      <c r="CW2" s="103" t="s">
        <v>533</v>
      </c>
      <c r="CX2" s="104">
        <v>2</v>
      </c>
      <c r="CY2" s="103" t="s">
        <v>557</v>
      </c>
      <c r="CZ2" s="104">
        <v>2</v>
      </c>
    </row>
    <row r="3" spans="1:104" ht="55" x14ac:dyDescent="0.2">
      <c r="A3" s="1"/>
      <c r="B3" s="1"/>
      <c r="C3" s="1" t="s">
        <v>71</v>
      </c>
      <c r="D3" s="1" t="s">
        <v>82</v>
      </c>
      <c r="E3" s="9" t="s">
        <v>292</v>
      </c>
      <c r="F3" s="9" t="s">
        <v>295</v>
      </c>
      <c r="G3" s="9" t="s">
        <v>299</v>
      </c>
      <c r="H3" s="9">
        <v>4</v>
      </c>
      <c r="I3" s="9" t="s">
        <v>371</v>
      </c>
      <c r="J3" s="9" t="s">
        <v>372</v>
      </c>
      <c r="K3" s="9" t="s">
        <v>373</v>
      </c>
      <c r="L3" s="9">
        <v>4</v>
      </c>
      <c r="M3" s="9" t="s">
        <v>357</v>
      </c>
      <c r="N3" s="9" t="s">
        <v>418</v>
      </c>
      <c r="O3" s="9" t="s">
        <v>97</v>
      </c>
      <c r="P3" s="9" t="s">
        <v>97</v>
      </c>
      <c r="Q3" s="9" t="s">
        <v>97</v>
      </c>
      <c r="R3" s="9" t="s">
        <v>97</v>
      </c>
      <c r="S3" s="6" t="s">
        <v>55</v>
      </c>
      <c r="T3" s="9" t="s">
        <v>97</v>
      </c>
      <c r="U3" s="6" t="s">
        <v>55</v>
      </c>
      <c r="V3" s="6" t="s">
        <v>55</v>
      </c>
      <c r="W3" s="6" t="s">
        <v>56</v>
      </c>
      <c r="X3" s="6" t="s">
        <v>55</v>
      </c>
      <c r="Y3" s="1"/>
      <c r="Z3" s="1">
        <v>1</v>
      </c>
      <c r="AA3" s="1"/>
      <c r="AC3" s="1"/>
      <c r="AD3" s="1"/>
      <c r="AE3" s="1"/>
      <c r="AF3" s="1" t="s">
        <v>99</v>
      </c>
      <c r="AG3" s="7"/>
      <c r="AH3" s="1" t="s">
        <v>100</v>
      </c>
      <c r="AI3" s="1" t="s">
        <v>101</v>
      </c>
      <c r="AJ3" s="1" t="s">
        <v>102</v>
      </c>
      <c r="AK3" s="1" t="s">
        <v>103</v>
      </c>
      <c r="AL3" s="9" t="s">
        <v>1119</v>
      </c>
      <c r="AM3" s="8" t="s">
        <v>91</v>
      </c>
      <c r="AN3" s="8" t="s">
        <v>91</v>
      </c>
      <c r="AO3" s="9" t="s">
        <v>91</v>
      </c>
      <c r="AP3" s="9" t="s">
        <v>91</v>
      </c>
      <c r="AQ3" s="10" t="s">
        <v>104</v>
      </c>
      <c r="AR3" s="10">
        <v>3</v>
      </c>
      <c r="AS3" s="10">
        <v>4</v>
      </c>
      <c r="AT3" s="17">
        <v>6</v>
      </c>
      <c r="AU3" s="9" t="s">
        <v>1091</v>
      </c>
      <c r="AV3" s="7"/>
      <c r="AW3" s="9" t="s">
        <v>1120</v>
      </c>
      <c r="AX3" s="9">
        <v>1</v>
      </c>
      <c r="AY3" s="7"/>
      <c r="AZ3" s="15"/>
      <c r="BA3" s="15"/>
      <c r="BB3" s="15" t="s">
        <v>204</v>
      </c>
      <c r="BC3" s="15"/>
      <c r="BD3" s="15" t="s">
        <v>106</v>
      </c>
      <c r="BE3" s="15" t="s">
        <v>426</v>
      </c>
      <c r="BF3" s="15">
        <v>0</v>
      </c>
      <c r="BG3" s="15">
        <v>0</v>
      </c>
      <c r="BH3" s="15">
        <v>1</v>
      </c>
      <c r="BI3" s="7"/>
      <c r="BJ3" s="131" t="s">
        <v>105</v>
      </c>
      <c r="BK3" s="122" t="s">
        <v>245</v>
      </c>
      <c r="BL3" s="122" t="s">
        <v>178</v>
      </c>
      <c r="BM3" s="122">
        <v>2.5</v>
      </c>
      <c r="BN3" s="122"/>
      <c r="BO3" s="122"/>
      <c r="BP3" s="7"/>
      <c r="BQ3" s="15"/>
      <c r="BR3" s="15"/>
      <c r="BS3" s="15" t="s">
        <v>210</v>
      </c>
      <c r="BT3" s="122" t="s">
        <v>207</v>
      </c>
      <c r="BU3" s="122" t="s">
        <v>96</v>
      </c>
      <c r="BV3" s="122" t="s">
        <v>208</v>
      </c>
      <c r="BW3" s="122">
        <v>0</v>
      </c>
      <c r="BX3" s="122">
        <v>0</v>
      </c>
      <c r="BZ3" s="103" t="s">
        <v>483</v>
      </c>
      <c r="CA3" s="104">
        <v>2</v>
      </c>
      <c r="CB3" s="103" t="s">
        <v>518</v>
      </c>
      <c r="CC3" s="104">
        <v>2</v>
      </c>
      <c r="CD3" s="103" t="s">
        <v>465</v>
      </c>
      <c r="CE3" s="104">
        <v>2</v>
      </c>
      <c r="CF3" s="103" t="s">
        <v>509</v>
      </c>
      <c r="CG3" s="104">
        <v>2</v>
      </c>
      <c r="CH3" s="134" t="s">
        <v>1117</v>
      </c>
      <c r="CI3" s="104">
        <v>2.5</v>
      </c>
      <c r="CJ3" s="103" t="s">
        <v>453</v>
      </c>
      <c r="CK3" s="104">
        <v>2</v>
      </c>
      <c r="CL3" s="7"/>
      <c r="CM3" s="103" t="s">
        <v>334</v>
      </c>
      <c r="CN3" s="104">
        <v>2</v>
      </c>
      <c r="CO3" s="103"/>
      <c r="CP3" s="104"/>
      <c r="CQ3" s="103" t="s">
        <v>338</v>
      </c>
      <c r="CR3" s="104">
        <v>2</v>
      </c>
      <c r="CS3" s="103"/>
      <c r="CT3" s="104"/>
      <c r="CU3" s="103" t="s">
        <v>558</v>
      </c>
      <c r="CV3" s="104">
        <v>2</v>
      </c>
      <c r="CW3" s="103" t="s">
        <v>534</v>
      </c>
      <c r="CX3" s="104">
        <v>2</v>
      </c>
      <c r="CY3" s="103" t="s">
        <v>558</v>
      </c>
      <c r="CZ3" s="104">
        <v>2</v>
      </c>
    </row>
    <row r="4" spans="1:104" ht="22" x14ac:dyDescent="0.2">
      <c r="A4" s="1" t="s">
        <v>58</v>
      </c>
      <c r="B4" s="1" t="s">
        <v>106</v>
      </c>
      <c r="C4" s="1" t="s">
        <v>72</v>
      </c>
      <c r="D4" s="1" t="s">
        <v>83</v>
      </c>
      <c r="E4" s="9" t="s">
        <v>293</v>
      </c>
      <c r="F4" s="9" t="s">
        <v>296</v>
      </c>
      <c r="G4" s="9" t="s">
        <v>300</v>
      </c>
      <c r="H4" s="9">
        <v>3</v>
      </c>
      <c r="I4" s="9" t="s">
        <v>367</v>
      </c>
      <c r="J4" s="9" t="s">
        <v>368</v>
      </c>
      <c r="K4" s="9" t="s">
        <v>374</v>
      </c>
      <c r="L4" s="9">
        <v>3</v>
      </c>
      <c r="M4" s="9" t="s">
        <v>358</v>
      </c>
      <c r="N4" s="9" t="s">
        <v>418</v>
      </c>
      <c r="O4" s="9" t="s">
        <v>97</v>
      </c>
      <c r="P4" s="9" t="s">
        <v>97</v>
      </c>
      <c r="Q4" s="9" t="s">
        <v>97</v>
      </c>
      <c r="R4" s="9" t="s">
        <v>97</v>
      </c>
      <c r="S4" s="6" t="s">
        <v>55</v>
      </c>
      <c r="T4" s="9" t="s">
        <v>97</v>
      </c>
      <c r="U4" s="9" t="s">
        <v>97</v>
      </c>
      <c r="V4" s="9" t="s">
        <v>97</v>
      </c>
      <c r="W4" s="9" t="s">
        <v>97</v>
      </c>
      <c r="X4" s="9" t="s">
        <v>97</v>
      </c>
      <c r="Y4" s="1"/>
      <c r="Z4" s="1"/>
      <c r="AA4" s="1"/>
      <c r="AC4" s="1"/>
      <c r="AD4" s="1"/>
      <c r="AE4" s="1"/>
      <c r="AF4" s="1" t="s">
        <v>98</v>
      </c>
      <c r="AG4" s="7"/>
      <c r="AH4" s="1" t="s">
        <v>108</v>
      </c>
      <c r="AI4" s="1" t="s">
        <v>101</v>
      </c>
      <c r="AJ4" s="1" t="s">
        <v>102</v>
      </c>
      <c r="AK4" s="1" t="s">
        <v>103</v>
      </c>
      <c r="AL4" s="9" t="s">
        <v>1119</v>
      </c>
      <c r="AM4" s="8" t="s">
        <v>91</v>
      </c>
      <c r="AN4" s="8" t="s">
        <v>91</v>
      </c>
      <c r="AO4" s="9" t="s">
        <v>91</v>
      </c>
      <c r="AP4" s="9" t="s">
        <v>91</v>
      </c>
      <c r="AQ4" s="10" t="s">
        <v>104</v>
      </c>
      <c r="AR4" s="10">
        <v>3</v>
      </c>
      <c r="AS4" s="10">
        <v>4</v>
      </c>
      <c r="AT4" s="17">
        <v>6</v>
      </c>
      <c r="AU4" s="9" t="s">
        <v>109</v>
      </c>
      <c r="AV4" s="7"/>
      <c r="AW4" s="9" t="s">
        <v>1119</v>
      </c>
      <c r="AX4" s="9">
        <v>1</v>
      </c>
      <c r="AY4" s="7"/>
      <c r="AZ4" s="15"/>
      <c r="BA4" s="15"/>
      <c r="BB4" s="15" t="s">
        <v>420</v>
      </c>
      <c r="BC4" s="15"/>
      <c r="BD4" s="15"/>
      <c r="BE4" s="15"/>
      <c r="BF4" s="15"/>
      <c r="BG4" s="15"/>
      <c r="BH4" s="15"/>
      <c r="BI4" s="7"/>
      <c r="BJ4" s="131" t="s">
        <v>110</v>
      </c>
      <c r="BK4" s="122" t="s">
        <v>1130</v>
      </c>
      <c r="BL4" t="s">
        <v>178</v>
      </c>
      <c r="BM4">
        <v>2.5</v>
      </c>
      <c r="BN4"/>
      <c r="BO4"/>
      <c r="BP4" s="7"/>
      <c r="BQ4" s="15"/>
      <c r="BR4" s="15"/>
      <c r="BS4" s="15" t="s">
        <v>213</v>
      </c>
      <c r="BT4" s="122" t="s">
        <v>207</v>
      </c>
      <c r="BU4" s="122" t="s">
        <v>86</v>
      </c>
      <c r="BV4" s="122" t="s">
        <v>208</v>
      </c>
      <c r="BW4" s="122">
        <v>0</v>
      </c>
      <c r="BX4" s="122">
        <v>0</v>
      </c>
      <c r="BZ4" s="103" t="s">
        <v>484</v>
      </c>
      <c r="CA4" s="104">
        <v>2</v>
      </c>
      <c r="CB4" s="103" t="s">
        <v>569</v>
      </c>
      <c r="CC4" s="104">
        <v>2</v>
      </c>
      <c r="CD4" s="103" t="s">
        <v>318</v>
      </c>
      <c r="CE4" s="104">
        <v>2</v>
      </c>
      <c r="CH4" s="103" t="s">
        <v>502</v>
      </c>
      <c r="CI4" s="104">
        <v>3.5</v>
      </c>
      <c r="CJ4" s="103" t="s">
        <v>1111</v>
      </c>
      <c r="CK4" s="104">
        <v>2</v>
      </c>
      <c r="CL4" s="7"/>
      <c r="CM4" s="103" t="s">
        <v>390</v>
      </c>
      <c r="CN4" s="104">
        <v>2</v>
      </c>
      <c r="CO4" s="103" t="s">
        <v>526</v>
      </c>
      <c r="CP4" s="104">
        <v>2.5</v>
      </c>
      <c r="CQ4" s="103" t="s">
        <v>387</v>
      </c>
      <c r="CR4" s="104">
        <v>2</v>
      </c>
      <c r="CS4" s="103" t="s">
        <v>528</v>
      </c>
      <c r="CT4" s="104">
        <v>3</v>
      </c>
      <c r="CU4" s="103" t="s">
        <v>559</v>
      </c>
      <c r="CV4" s="104">
        <v>2</v>
      </c>
      <c r="CW4" s="103" t="s">
        <v>535</v>
      </c>
      <c r="CX4" s="104">
        <v>2</v>
      </c>
      <c r="CY4" s="103" t="s">
        <v>559</v>
      </c>
      <c r="CZ4" s="104">
        <v>2</v>
      </c>
    </row>
    <row r="5" spans="1:104" ht="22" x14ac:dyDescent="0.2">
      <c r="A5" s="1"/>
      <c r="B5" s="1"/>
      <c r="C5" s="1" t="s">
        <v>70</v>
      </c>
      <c r="D5" s="1" t="s">
        <v>81</v>
      </c>
      <c r="E5" s="9" t="s">
        <v>291</v>
      </c>
      <c r="F5" s="9" t="s">
        <v>294</v>
      </c>
      <c r="G5" s="9" t="s">
        <v>298</v>
      </c>
      <c r="H5" s="9">
        <v>5</v>
      </c>
      <c r="I5" s="9" t="s">
        <v>369</v>
      </c>
      <c r="J5" s="9" t="s">
        <v>370</v>
      </c>
      <c r="K5" s="9" t="s">
        <v>823</v>
      </c>
      <c r="L5" s="9">
        <v>4</v>
      </c>
      <c r="M5" s="9" t="s">
        <v>359</v>
      </c>
      <c r="N5" s="9" t="s">
        <v>419</v>
      </c>
      <c r="O5" s="6" t="s">
        <v>55</v>
      </c>
      <c r="P5" s="6" t="s">
        <v>55</v>
      </c>
      <c r="Q5" s="6" t="s">
        <v>55</v>
      </c>
      <c r="R5" s="6" t="s">
        <v>55</v>
      </c>
      <c r="S5" s="6" t="s">
        <v>55</v>
      </c>
      <c r="T5" s="6" t="s">
        <v>57</v>
      </c>
      <c r="U5" s="6" t="s">
        <v>55</v>
      </c>
      <c r="V5" s="6" t="s">
        <v>55</v>
      </c>
      <c r="W5" s="6" t="s">
        <v>56</v>
      </c>
      <c r="X5" s="6" t="s">
        <v>55</v>
      </c>
      <c r="Y5" s="1"/>
      <c r="Z5" s="1"/>
      <c r="AA5" s="1"/>
      <c r="AC5" s="1"/>
      <c r="AD5" s="1"/>
      <c r="AE5" s="1"/>
      <c r="AF5" s="1" t="s">
        <v>107</v>
      </c>
      <c r="AG5" s="7"/>
      <c r="AH5" s="1" t="s">
        <v>112</v>
      </c>
      <c r="AI5" s="1" t="s">
        <v>101</v>
      </c>
      <c r="AJ5" s="1" t="s">
        <v>102</v>
      </c>
      <c r="AK5" s="1" t="s">
        <v>103</v>
      </c>
      <c r="AL5" s="9" t="s">
        <v>1119</v>
      </c>
      <c r="AM5" s="8" t="s">
        <v>91</v>
      </c>
      <c r="AN5" s="8" t="s">
        <v>91</v>
      </c>
      <c r="AO5" s="9" t="s">
        <v>91</v>
      </c>
      <c r="AP5" s="9" t="s">
        <v>91</v>
      </c>
      <c r="AQ5" s="10" t="s">
        <v>104</v>
      </c>
      <c r="AR5" s="10">
        <v>3</v>
      </c>
      <c r="AS5" s="10">
        <v>4</v>
      </c>
      <c r="AT5" s="17">
        <v>8</v>
      </c>
      <c r="AU5" s="9" t="s">
        <v>113</v>
      </c>
      <c r="AV5" s="7"/>
      <c r="AW5" s="9" t="s">
        <v>1118</v>
      </c>
      <c r="AX5" s="9">
        <v>1</v>
      </c>
      <c r="AY5" s="7"/>
      <c r="AZ5" s="15"/>
      <c r="BA5" s="15"/>
      <c r="BB5" s="15" t="s">
        <v>421</v>
      </c>
      <c r="BC5" s="15"/>
      <c r="BD5" s="15"/>
      <c r="BE5" s="15"/>
      <c r="BF5" s="15"/>
      <c r="BG5" s="15"/>
      <c r="BH5" s="15"/>
      <c r="BI5" s="7"/>
      <c r="BJ5" s="9" t="s">
        <v>117</v>
      </c>
      <c r="BK5" t="s">
        <v>169</v>
      </c>
      <c r="BL5" t="s">
        <v>178</v>
      </c>
      <c r="BM5">
        <v>2.5</v>
      </c>
      <c r="BN5"/>
      <c r="BO5"/>
      <c r="BP5" s="7"/>
      <c r="BQ5" s="121"/>
      <c r="BR5" s="121"/>
      <c r="BS5" s="121" t="s">
        <v>1100</v>
      </c>
      <c r="BT5" s="122" t="s">
        <v>209</v>
      </c>
      <c r="BU5" s="122" t="s">
        <v>106</v>
      </c>
      <c r="BV5" s="122" t="s">
        <v>210</v>
      </c>
      <c r="BW5" s="122">
        <v>1</v>
      </c>
      <c r="BX5" s="122">
        <v>1.5</v>
      </c>
      <c r="BZ5" s="103" t="s">
        <v>567</v>
      </c>
      <c r="CA5" s="104">
        <v>2</v>
      </c>
      <c r="CB5" s="103"/>
      <c r="CC5" s="104"/>
      <c r="CD5" s="103" t="s">
        <v>466</v>
      </c>
      <c r="CE5" s="104">
        <v>2</v>
      </c>
      <c r="CF5" s="103" t="s">
        <v>510</v>
      </c>
      <c r="CG5" s="104">
        <v>3</v>
      </c>
      <c r="CH5" s="103" t="s">
        <v>503</v>
      </c>
      <c r="CI5" s="104">
        <v>3.5</v>
      </c>
      <c r="CJ5" s="103" t="s">
        <v>454</v>
      </c>
      <c r="CK5" s="133">
        <v>2</v>
      </c>
      <c r="CL5" s="7"/>
      <c r="CM5" s="103"/>
      <c r="CN5" s="104"/>
      <c r="CO5" s="103"/>
      <c r="CP5" s="104"/>
      <c r="CQ5" s="103" t="s">
        <v>544</v>
      </c>
      <c r="CR5" s="104">
        <v>2</v>
      </c>
      <c r="CS5" s="103" t="s">
        <v>529</v>
      </c>
      <c r="CT5" s="104">
        <v>3</v>
      </c>
      <c r="CU5" s="103" t="s">
        <v>340</v>
      </c>
      <c r="CV5" s="104">
        <v>2</v>
      </c>
      <c r="CW5" s="103" t="s">
        <v>536</v>
      </c>
      <c r="CX5" s="104">
        <v>2</v>
      </c>
      <c r="CY5" s="103" t="s">
        <v>340</v>
      </c>
      <c r="CZ5" s="104">
        <v>2</v>
      </c>
    </row>
    <row r="6" spans="1:104" ht="22" x14ac:dyDescent="0.2">
      <c r="M6" s="9" t="s">
        <v>360</v>
      </c>
      <c r="N6" s="9" t="s">
        <v>419</v>
      </c>
      <c r="R6" s="6" t="s">
        <v>55</v>
      </c>
      <c r="AC6" s="1"/>
      <c r="AD6" s="1"/>
      <c r="AE6" s="1"/>
      <c r="AF6" s="1" t="s">
        <v>111</v>
      </c>
      <c r="AG6" s="7"/>
      <c r="AH6" s="1" t="s">
        <v>116</v>
      </c>
      <c r="AI6" s="1" t="s">
        <v>101</v>
      </c>
      <c r="AJ6" s="1" t="s">
        <v>102</v>
      </c>
      <c r="AK6" s="1" t="s">
        <v>103</v>
      </c>
      <c r="AL6" s="9" t="s">
        <v>1119</v>
      </c>
      <c r="AM6" s="8" t="s">
        <v>91</v>
      </c>
      <c r="AN6" s="8" t="s">
        <v>91</v>
      </c>
      <c r="AO6" s="9" t="s">
        <v>91</v>
      </c>
      <c r="AP6" s="9" t="s">
        <v>91</v>
      </c>
      <c r="AQ6" s="10" t="s">
        <v>104</v>
      </c>
      <c r="AR6" s="10">
        <v>3</v>
      </c>
      <c r="AS6" s="10">
        <v>4</v>
      </c>
      <c r="AT6" s="17">
        <v>8</v>
      </c>
      <c r="AU6" s="9" t="s">
        <v>113</v>
      </c>
      <c r="AV6" s="7"/>
      <c r="AW6" s="9" t="s">
        <v>101</v>
      </c>
      <c r="AX6" s="9">
        <v>0</v>
      </c>
      <c r="AY6" s="7"/>
      <c r="AZ6" s="16"/>
      <c r="BA6" s="16"/>
      <c r="BB6" s="16" t="s">
        <v>117</v>
      </c>
      <c r="BI6" s="7"/>
      <c r="BJ6" s="131" t="s">
        <v>255</v>
      </c>
      <c r="BK6" t="s">
        <v>246</v>
      </c>
      <c r="BL6" t="s">
        <v>178</v>
      </c>
      <c r="BM6">
        <v>2.5</v>
      </c>
      <c r="BN6"/>
      <c r="BO6"/>
      <c r="BP6" s="7"/>
      <c r="BQ6" s="121"/>
      <c r="BR6" s="121"/>
      <c r="BS6" s="121" t="s">
        <v>1101</v>
      </c>
      <c r="BT6" s="122" t="s">
        <v>209</v>
      </c>
      <c r="BU6" s="122" t="s">
        <v>96</v>
      </c>
      <c r="BV6" s="122" t="s">
        <v>210</v>
      </c>
      <c r="BW6" s="122">
        <v>0.5</v>
      </c>
      <c r="BX6" s="122">
        <v>1</v>
      </c>
      <c r="BZ6" s="103" t="s">
        <v>486</v>
      </c>
      <c r="CA6" s="104">
        <v>2</v>
      </c>
      <c r="CB6" s="103" t="s">
        <v>520</v>
      </c>
      <c r="CC6" s="104">
        <v>3</v>
      </c>
      <c r="CD6" s="103" t="s">
        <v>467</v>
      </c>
      <c r="CE6" s="104">
        <v>2</v>
      </c>
      <c r="CF6" s="103" t="s">
        <v>511</v>
      </c>
      <c r="CG6" s="104">
        <v>3</v>
      </c>
      <c r="CH6" s="103" t="s">
        <v>504</v>
      </c>
      <c r="CI6" s="104">
        <v>3.5</v>
      </c>
      <c r="CJ6" s="114" t="s">
        <v>455</v>
      </c>
      <c r="CK6" s="104">
        <v>2</v>
      </c>
      <c r="CL6" s="7"/>
      <c r="CM6" s="103" t="s">
        <v>335</v>
      </c>
      <c r="CN6" s="104">
        <v>2.5</v>
      </c>
      <c r="CO6" s="103" t="s">
        <v>527</v>
      </c>
      <c r="CP6" s="104">
        <v>3.5</v>
      </c>
      <c r="CQ6" s="103"/>
      <c r="CR6" s="104"/>
      <c r="CS6" s="103"/>
      <c r="CT6" s="104"/>
      <c r="CU6" s="103" t="s">
        <v>560</v>
      </c>
      <c r="CV6" s="104">
        <v>2</v>
      </c>
      <c r="CW6" s="103" t="s">
        <v>537</v>
      </c>
      <c r="CX6" s="104">
        <v>2</v>
      </c>
      <c r="CY6" s="103" t="s">
        <v>560</v>
      </c>
      <c r="CZ6" s="104">
        <v>2</v>
      </c>
    </row>
    <row r="7" spans="1:104" ht="22" x14ac:dyDescent="0.2">
      <c r="M7" s="9" t="s">
        <v>361</v>
      </c>
      <c r="N7" s="9" t="s">
        <v>418</v>
      </c>
      <c r="AD7" s="1"/>
      <c r="AE7" s="1"/>
      <c r="AF7" s="1" t="s">
        <v>115</v>
      </c>
      <c r="AG7" s="7"/>
      <c r="AH7" s="1" t="s">
        <v>120</v>
      </c>
      <c r="AI7" s="1" t="s">
        <v>101</v>
      </c>
      <c r="AJ7" s="1" t="s">
        <v>102</v>
      </c>
      <c r="AK7" s="1" t="s">
        <v>103</v>
      </c>
      <c r="AL7" s="9" t="s">
        <v>1119</v>
      </c>
      <c r="AM7" s="8" t="s">
        <v>91</v>
      </c>
      <c r="AN7" s="8" t="s">
        <v>91</v>
      </c>
      <c r="AO7" s="9" t="s">
        <v>91</v>
      </c>
      <c r="AP7" s="9" t="s">
        <v>91</v>
      </c>
      <c r="AQ7" s="10" t="s">
        <v>104</v>
      </c>
      <c r="AR7" s="10">
        <v>3</v>
      </c>
      <c r="AS7" s="10">
        <v>4</v>
      </c>
      <c r="AT7" s="17">
        <v>8</v>
      </c>
      <c r="AU7" s="9" t="s">
        <v>113</v>
      </c>
      <c r="AV7" s="7"/>
      <c r="AW7" s="9" t="s">
        <v>102</v>
      </c>
      <c r="AX7" s="9">
        <v>0</v>
      </c>
      <c r="AY7" s="7"/>
      <c r="AZ7" s="15"/>
      <c r="BA7" s="15"/>
      <c r="BB7" s="15" t="s">
        <v>136</v>
      </c>
      <c r="BC7" s="15"/>
      <c r="BD7" s="15"/>
      <c r="BE7" s="15"/>
      <c r="BF7" s="15"/>
      <c r="BG7" s="15"/>
      <c r="BH7" s="15"/>
      <c r="BI7" s="7"/>
      <c r="BJ7" s="138" t="s">
        <v>256</v>
      </c>
      <c r="BK7" t="s">
        <v>247</v>
      </c>
      <c r="BL7" t="s">
        <v>178</v>
      </c>
      <c r="BM7">
        <v>5</v>
      </c>
      <c r="BN7"/>
      <c r="BO7"/>
      <c r="BP7" s="7"/>
      <c r="BQ7" s="15"/>
      <c r="BR7" s="16"/>
      <c r="BS7" s="122" t="s">
        <v>214</v>
      </c>
      <c r="BT7" s="122" t="s">
        <v>209</v>
      </c>
      <c r="BU7" s="122" t="s">
        <v>86</v>
      </c>
      <c r="BV7" s="122" t="s">
        <v>210</v>
      </c>
      <c r="BW7" s="122">
        <v>0</v>
      </c>
      <c r="BX7" s="122">
        <v>0.5</v>
      </c>
      <c r="BZ7" s="103" t="s">
        <v>391</v>
      </c>
      <c r="CA7" s="104">
        <v>2</v>
      </c>
      <c r="CB7" s="103" t="s">
        <v>521</v>
      </c>
      <c r="CC7" s="104">
        <v>3</v>
      </c>
      <c r="CD7" s="103" t="s">
        <v>468</v>
      </c>
      <c r="CE7" s="104">
        <v>2</v>
      </c>
      <c r="CF7" s="103" t="s">
        <v>512</v>
      </c>
      <c r="CG7" s="104">
        <v>3</v>
      </c>
      <c r="CH7" s="103" t="s">
        <v>505</v>
      </c>
      <c r="CI7" s="104">
        <v>3.5</v>
      </c>
      <c r="CJ7" s="134" t="s">
        <v>501</v>
      </c>
      <c r="CK7" s="104"/>
      <c r="CL7" s="7"/>
      <c r="CM7" s="103" t="s">
        <v>336</v>
      </c>
      <c r="CN7" s="104">
        <v>2.5</v>
      </c>
      <c r="CO7" s="103"/>
      <c r="CP7" s="104"/>
      <c r="CQ7" s="103" t="s">
        <v>545</v>
      </c>
      <c r="CR7" s="104">
        <v>3</v>
      </c>
      <c r="CS7" s="103" t="s">
        <v>530</v>
      </c>
      <c r="CT7" s="104">
        <v>3.5</v>
      </c>
      <c r="CU7" s="103" t="s">
        <v>561</v>
      </c>
      <c r="CV7" s="104">
        <v>2</v>
      </c>
      <c r="CW7" s="103"/>
      <c r="CX7" s="104"/>
      <c r="CY7" s="103" t="s">
        <v>561</v>
      </c>
      <c r="CZ7" s="104">
        <v>2</v>
      </c>
    </row>
    <row r="8" spans="1:104" ht="33" x14ac:dyDescent="0.2">
      <c r="M8" s="9" t="s">
        <v>362</v>
      </c>
      <c r="N8" s="9" t="s">
        <v>419</v>
      </c>
      <c r="AD8" s="1"/>
      <c r="AE8" s="1"/>
      <c r="AF8" s="1" t="s">
        <v>119</v>
      </c>
      <c r="AG8" s="7"/>
      <c r="AH8" s="1" t="s">
        <v>123</v>
      </c>
      <c r="AI8" s="1" t="s">
        <v>89</v>
      </c>
      <c r="AJ8" s="1" t="s">
        <v>89</v>
      </c>
      <c r="AK8" s="1" t="s">
        <v>90</v>
      </c>
      <c r="AL8" s="8" t="s">
        <v>91</v>
      </c>
      <c r="AM8" s="8" t="s">
        <v>91</v>
      </c>
      <c r="AN8" s="8" t="s">
        <v>91</v>
      </c>
      <c r="AO8" s="9" t="s">
        <v>91</v>
      </c>
      <c r="AP8" s="9" t="s">
        <v>91</v>
      </c>
      <c r="AQ8" s="10" t="s">
        <v>92</v>
      </c>
      <c r="AR8" s="10">
        <v>2</v>
      </c>
      <c r="AS8" s="10">
        <v>3</v>
      </c>
      <c r="AT8" s="17">
        <v>5.5</v>
      </c>
      <c r="AU8" s="9" t="s">
        <v>1090</v>
      </c>
      <c r="AV8" s="7"/>
      <c r="AW8" s="9" t="s">
        <v>103</v>
      </c>
      <c r="AX8" s="9">
        <v>0</v>
      </c>
      <c r="AY8" s="7"/>
      <c r="AZ8" s="15"/>
      <c r="BA8" s="15"/>
      <c r="BB8" s="15" t="s">
        <v>139</v>
      </c>
      <c r="BC8" s="15"/>
      <c r="BD8" s="15"/>
      <c r="BE8" s="15"/>
      <c r="BF8" s="15"/>
      <c r="BG8" s="15"/>
      <c r="BH8" s="15"/>
      <c r="BI8" s="7"/>
      <c r="BJ8" s="131" t="s">
        <v>137</v>
      </c>
      <c r="BK8" t="s">
        <v>248</v>
      </c>
      <c r="BL8" t="s">
        <v>178</v>
      </c>
      <c r="BM8">
        <v>5</v>
      </c>
      <c r="BN8"/>
      <c r="BO8"/>
      <c r="BP8" s="7"/>
      <c r="BQ8" s="16"/>
      <c r="BR8" s="16"/>
      <c r="BS8" s="122" t="s">
        <v>215</v>
      </c>
      <c r="BT8" s="122" t="s">
        <v>211</v>
      </c>
      <c r="BU8" s="122" t="s">
        <v>106</v>
      </c>
      <c r="BV8" s="121" t="s">
        <v>1100</v>
      </c>
      <c r="BW8" s="122">
        <v>1.5</v>
      </c>
      <c r="BX8" s="122">
        <v>2</v>
      </c>
      <c r="BZ8" s="103" t="s">
        <v>487</v>
      </c>
      <c r="CA8" s="104">
        <v>2</v>
      </c>
      <c r="CB8" s="103" t="s">
        <v>522</v>
      </c>
      <c r="CC8" s="104">
        <v>3</v>
      </c>
      <c r="CD8" s="103"/>
      <c r="CE8" s="104"/>
      <c r="CF8" s="103" t="s">
        <v>513</v>
      </c>
      <c r="CG8" s="104">
        <v>3</v>
      </c>
      <c r="CH8" s="103" t="s">
        <v>506</v>
      </c>
      <c r="CI8" s="104">
        <v>4</v>
      </c>
      <c r="CJ8" s="134" t="s">
        <v>326</v>
      </c>
      <c r="CK8" s="104">
        <v>2.5</v>
      </c>
      <c r="CL8" s="7"/>
      <c r="CM8" s="103"/>
      <c r="CN8" s="104"/>
      <c r="CO8" s="103" t="s">
        <v>381</v>
      </c>
      <c r="CP8" s="104">
        <v>4</v>
      </c>
      <c r="CQ8" s="103" t="s">
        <v>546</v>
      </c>
      <c r="CR8" s="104">
        <v>3</v>
      </c>
      <c r="CS8" s="103" t="s">
        <v>531</v>
      </c>
      <c r="CT8" s="104">
        <v>3.5</v>
      </c>
      <c r="CU8" s="103" t="s">
        <v>562</v>
      </c>
      <c r="CV8" s="104">
        <v>2</v>
      </c>
      <c r="CW8" s="103" t="s">
        <v>628</v>
      </c>
      <c r="CX8" s="104">
        <v>3</v>
      </c>
      <c r="CY8" s="103" t="s">
        <v>562</v>
      </c>
      <c r="CZ8" s="104">
        <v>2</v>
      </c>
    </row>
    <row r="9" spans="1:104" ht="22" x14ac:dyDescent="0.2">
      <c r="M9" s="9" t="s">
        <v>5</v>
      </c>
      <c r="N9" s="9" t="s">
        <v>418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D9" s="1"/>
      <c r="AE9" s="1"/>
      <c r="AF9" s="9" t="s">
        <v>125</v>
      </c>
      <c r="AG9" s="7"/>
      <c r="AH9" s="1" t="s">
        <v>126</v>
      </c>
      <c r="AI9" s="1" t="s">
        <v>101</v>
      </c>
      <c r="AJ9" s="1" t="s">
        <v>102</v>
      </c>
      <c r="AK9" s="1" t="s">
        <v>103</v>
      </c>
      <c r="AL9" s="9" t="s">
        <v>1119</v>
      </c>
      <c r="AM9" s="8" t="s">
        <v>91</v>
      </c>
      <c r="AN9" s="8" t="s">
        <v>91</v>
      </c>
      <c r="AO9" s="9" t="s">
        <v>91</v>
      </c>
      <c r="AP9" s="9" t="s">
        <v>91</v>
      </c>
      <c r="AQ9" s="10" t="s">
        <v>104</v>
      </c>
      <c r="AR9" s="10">
        <v>3</v>
      </c>
      <c r="AS9" s="10">
        <v>4</v>
      </c>
      <c r="AT9" s="17">
        <v>6</v>
      </c>
      <c r="AU9" s="9" t="s">
        <v>1092</v>
      </c>
      <c r="AV9" s="7"/>
      <c r="AY9" s="7"/>
      <c r="AZ9" s="15"/>
      <c r="BA9" s="15"/>
      <c r="BB9" s="15" t="s">
        <v>193</v>
      </c>
      <c r="BC9" s="15"/>
      <c r="BD9" s="15"/>
      <c r="BE9" s="15"/>
      <c r="BF9" s="15"/>
      <c r="BG9" s="15"/>
      <c r="BH9" s="15"/>
      <c r="BI9" s="7"/>
      <c r="BJ9" s="131" t="s">
        <v>138</v>
      </c>
      <c r="BK9" t="s">
        <v>249</v>
      </c>
      <c r="BL9" t="s">
        <v>178</v>
      </c>
      <c r="BM9">
        <v>5</v>
      </c>
      <c r="BN9"/>
      <c r="BO9"/>
      <c r="BP9" s="7"/>
      <c r="BQ9" s="15"/>
      <c r="BR9" s="15"/>
      <c r="BS9" s="121" t="s">
        <v>218</v>
      </c>
      <c r="BT9" s="122" t="s">
        <v>211</v>
      </c>
      <c r="BU9" s="122" t="s">
        <v>106</v>
      </c>
      <c r="BV9" s="121" t="s">
        <v>213</v>
      </c>
      <c r="BW9" s="122">
        <v>1.5</v>
      </c>
      <c r="BX9" s="122">
        <v>2</v>
      </c>
      <c r="BZ9" s="103" t="s">
        <v>568</v>
      </c>
      <c r="CA9" s="104">
        <v>2</v>
      </c>
      <c r="CB9" s="103" t="s">
        <v>523</v>
      </c>
      <c r="CC9" s="104">
        <v>3</v>
      </c>
      <c r="CD9" s="103" t="s">
        <v>469</v>
      </c>
      <c r="CE9" s="104">
        <v>3</v>
      </c>
      <c r="CF9" s="103"/>
      <c r="CG9" s="104"/>
      <c r="CH9" s="103" t="s">
        <v>507</v>
      </c>
      <c r="CI9" s="104">
        <v>4</v>
      </c>
      <c r="CJ9" s="134" t="s">
        <v>456</v>
      </c>
      <c r="CK9" s="104">
        <v>2.5</v>
      </c>
      <c r="CL9" s="7"/>
      <c r="CM9" s="103" t="s">
        <v>538</v>
      </c>
      <c r="CN9" s="104">
        <v>3.5</v>
      </c>
      <c r="CO9" s="103"/>
      <c r="CP9" s="104"/>
      <c r="CQ9" s="103" t="s">
        <v>547</v>
      </c>
      <c r="CR9" s="104">
        <v>3</v>
      </c>
      <c r="CS9" s="103" t="s">
        <v>532</v>
      </c>
      <c r="CT9" s="104">
        <v>3.5</v>
      </c>
      <c r="CU9" s="103" t="s">
        <v>377</v>
      </c>
      <c r="CV9" s="104">
        <v>2</v>
      </c>
      <c r="CW9" s="103" t="s">
        <v>629</v>
      </c>
      <c r="CX9" s="104">
        <v>3</v>
      </c>
      <c r="CY9" s="103" t="s">
        <v>377</v>
      </c>
      <c r="CZ9" s="104">
        <v>2</v>
      </c>
    </row>
    <row r="10" spans="1:104" ht="22" x14ac:dyDescent="0.2">
      <c r="M10" s="9" t="s">
        <v>10</v>
      </c>
      <c r="N10" s="9" t="s">
        <v>418</v>
      </c>
      <c r="AD10" s="1"/>
      <c r="AE10" s="1"/>
      <c r="AF10" s="1" t="s">
        <v>122</v>
      </c>
      <c r="AG10" s="7"/>
      <c r="AH10" s="1" t="s">
        <v>128</v>
      </c>
      <c r="AI10" s="1" t="s">
        <v>101</v>
      </c>
      <c r="AJ10" s="1" t="s">
        <v>102</v>
      </c>
      <c r="AK10" s="1" t="s">
        <v>103</v>
      </c>
      <c r="AL10" s="9" t="s">
        <v>1119</v>
      </c>
      <c r="AM10" s="8" t="s">
        <v>91</v>
      </c>
      <c r="AN10" s="8" t="s">
        <v>91</v>
      </c>
      <c r="AO10" s="9" t="s">
        <v>91</v>
      </c>
      <c r="AP10" s="9" t="s">
        <v>91</v>
      </c>
      <c r="AQ10" s="10" t="s">
        <v>104</v>
      </c>
      <c r="AR10" s="10">
        <v>3</v>
      </c>
      <c r="AS10" s="10">
        <v>4</v>
      </c>
      <c r="AT10" s="17">
        <v>6</v>
      </c>
      <c r="AU10" s="9" t="s">
        <v>109</v>
      </c>
      <c r="AV10" s="7"/>
      <c r="AY10" s="7"/>
      <c r="AZ10" s="15"/>
      <c r="BA10" s="15"/>
      <c r="BB10" s="15" t="s">
        <v>131</v>
      </c>
      <c r="BC10" s="15"/>
      <c r="BD10" s="15"/>
      <c r="BE10" s="15"/>
      <c r="BF10" s="15"/>
      <c r="BG10" s="15"/>
      <c r="BH10" s="15"/>
      <c r="BI10" s="7"/>
      <c r="BJ10" s="131" t="s">
        <v>105</v>
      </c>
      <c r="BK10" t="s">
        <v>250</v>
      </c>
      <c r="BL10" t="s">
        <v>178</v>
      </c>
      <c r="BM10">
        <v>6</v>
      </c>
      <c r="BN10"/>
      <c r="BO10"/>
      <c r="BP10" s="7"/>
      <c r="BQ10" s="15"/>
      <c r="BR10" s="15"/>
      <c r="BS10" s="121" t="s">
        <v>219</v>
      </c>
      <c r="BT10" s="122" t="s">
        <v>211</v>
      </c>
      <c r="BU10" s="122" t="s">
        <v>106</v>
      </c>
      <c r="BV10" s="121" t="s">
        <v>214</v>
      </c>
      <c r="BW10" s="122">
        <v>1.5</v>
      </c>
      <c r="BX10" s="122">
        <v>2</v>
      </c>
      <c r="BZ10" s="103" t="s">
        <v>489</v>
      </c>
      <c r="CA10" s="104">
        <v>2</v>
      </c>
      <c r="CB10" s="103" t="s">
        <v>524</v>
      </c>
      <c r="CC10" s="104">
        <v>3</v>
      </c>
      <c r="CD10" s="103" t="s">
        <v>470</v>
      </c>
      <c r="CE10" s="104">
        <v>3</v>
      </c>
      <c r="CF10" s="103" t="s">
        <v>514</v>
      </c>
      <c r="CG10" s="104">
        <v>3.5</v>
      </c>
      <c r="CH10" s="103" t="s">
        <v>508</v>
      </c>
      <c r="CI10" s="104">
        <v>5</v>
      </c>
      <c r="CJ10" s="134" t="s">
        <v>327</v>
      </c>
      <c r="CK10" s="104">
        <v>2.5</v>
      </c>
      <c r="CL10" s="7"/>
      <c r="CM10" s="103" t="s">
        <v>539</v>
      </c>
      <c r="CN10" s="104">
        <v>3.5</v>
      </c>
      <c r="CO10" s="103" t="s">
        <v>337</v>
      </c>
      <c r="CP10" s="104">
        <v>5</v>
      </c>
      <c r="CQ10" s="103" t="s">
        <v>548</v>
      </c>
      <c r="CR10" s="104">
        <v>3</v>
      </c>
      <c r="CS10" s="103" t="s">
        <v>380</v>
      </c>
      <c r="CT10" s="104">
        <v>3.5</v>
      </c>
      <c r="CU10" s="103" t="s">
        <v>386</v>
      </c>
      <c r="CV10" s="104">
        <v>2</v>
      </c>
      <c r="CW10" s="103" t="s">
        <v>630</v>
      </c>
      <c r="CX10" s="104">
        <v>3</v>
      </c>
      <c r="CY10" s="103" t="s">
        <v>386</v>
      </c>
      <c r="CZ10" s="104">
        <v>2</v>
      </c>
    </row>
    <row r="11" spans="1:104" ht="22" x14ac:dyDescent="0.2">
      <c r="M11" s="9" t="s">
        <v>363</v>
      </c>
      <c r="N11" s="9" t="s">
        <v>418</v>
      </c>
      <c r="AD11" s="1"/>
      <c r="AE11" s="1"/>
      <c r="AF11" s="1" t="s">
        <v>124</v>
      </c>
      <c r="AG11" s="7"/>
      <c r="AH11" s="1" t="s">
        <v>130</v>
      </c>
      <c r="AI11" s="1" t="s">
        <v>101</v>
      </c>
      <c r="AJ11" s="1" t="s">
        <v>102</v>
      </c>
      <c r="AK11" s="1" t="s">
        <v>103</v>
      </c>
      <c r="AL11" s="9" t="s">
        <v>1119</v>
      </c>
      <c r="AM11" s="8" t="s">
        <v>91</v>
      </c>
      <c r="AN11" s="8" t="s">
        <v>91</v>
      </c>
      <c r="AO11" s="9" t="s">
        <v>91</v>
      </c>
      <c r="AP11" s="9" t="s">
        <v>91</v>
      </c>
      <c r="AQ11" s="10" t="s">
        <v>104</v>
      </c>
      <c r="AR11" s="10">
        <v>3</v>
      </c>
      <c r="AS11" s="10">
        <v>4</v>
      </c>
      <c r="AT11" s="17">
        <v>8</v>
      </c>
      <c r="AU11" s="9" t="s">
        <v>113</v>
      </c>
      <c r="AV11" s="7"/>
      <c r="AY11" s="7"/>
      <c r="AZ11" s="15"/>
      <c r="BA11" s="15"/>
      <c r="BB11" s="15" t="s">
        <v>132</v>
      </c>
      <c r="BC11" s="15"/>
      <c r="BD11" s="15"/>
      <c r="BE11" s="15"/>
      <c r="BF11" s="15"/>
      <c r="BG11" s="15"/>
      <c r="BH11" s="15"/>
      <c r="BI11" s="7"/>
      <c r="BJ11" s="131" t="s">
        <v>110</v>
      </c>
      <c r="BK11" t="s">
        <v>167</v>
      </c>
      <c r="BL11" t="s">
        <v>178</v>
      </c>
      <c r="BM11">
        <v>6</v>
      </c>
      <c r="BN11"/>
      <c r="BO11"/>
      <c r="BP11" s="7"/>
      <c r="BQ11" s="15"/>
      <c r="BR11" s="15"/>
      <c r="BS11" s="123" t="s">
        <v>217</v>
      </c>
      <c r="BT11" s="122" t="s">
        <v>211</v>
      </c>
      <c r="BU11" s="122" t="s">
        <v>106</v>
      </c>
      <c r="BV11" s="121" t="s">
        <v>215</v>
      </c>
      <c r="BW11" s="122">
        <v>1.5</v>
      </c>
      <c r="BX11" s="122">
        <v>2</v>
      </c>
      <c r="BZ11" s="103" t="s">
        <v>490</v>
      </c>
      <c r="CA11" s="104">
        <v>2</v>
      </c>
      <c r="CB11" s="103"/>
      <c r="CC11" s="104"/>
      <c r="CD11" s="103" t="s">
        <v>319</v>
      </c>
      <c r="CE11" s="104">
        <v>3</v>
      </c>
      <c r="CF11" s="103" t="s">
        <v>515</v>
      </c>
      <c r="CG11" s="104">
        <v>3.5</v>
      </c>
      <c r="CH11" s="103" t="s">
        <v>510</v>
      </c>
      <c r="CI11" s="104">
        <v>5.5</v>
      </c>
      <c r="CJ11" s="134" t="s">
        <v>1113</v>
      </c>
      <c r="CK11" s="104">
        <v>2.5</v>
      </c>
      <c r="CL11" s="7"/>
      <c r="CM11" s="103"/>
      <c r="CN11" s="104"/>
      <c r="CO11" s="103"/>
      <c r="CP11" s="104"/>
      <c r="CQ11" s="103" t="s">
        <v>385</v>
      </c>
      <c r="CR11" s="104">
        <v>3</v>
      </c>
      <c r="CS11" s="103"/>
      <c r="CT11" s="104"/>
      <c r="CU11" s="103" t="s">
        <v>384</v>
      </c>
      <c r="CV11" s="104">
        <v>2</v>
      </c>
      <c r="CW11" s="103" t="s">
        <v>631</v>
      </c>
      <c r="CX11" s="104">
        <v>3</v>
      </c>
      <c r="CY11" s="103" t="s">
        <v>384</v>
      </c>
      <c r="CZ11" s="104">
        <v>2</v>
      </c>
    </row>
    <row r="12" spans="1:104" ht="33" x14ac:dyDescent="0.2">
      <c r="M12" s="9" t="s">
        <v>8</v>
      </c>
      <c r="N12" s="9" t="s">
        <v>418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D12" s="1"/>
      <c r="AE12" s="1"/>
      <c r="AF12" s="1" t="s">
        <v>127</v>
      </c>
      <c r="AG12" s="7"/>
      <c r="AH12" s="1" t="s">
        <v>134</v>
      </c>
      <c r="AI12" s="1" t="s">
        <v>101</v>
      </c>
      <c r="AJ12" s="1" t="s">
        <v>102</v>
      </c>
      <c r="AK12" s="1" t="s">
        <v>103</v>
      </c>
      <c r="AL12" s="9" t="s">
        <v>1119</v>
      </c>
      <c r="AM12" s="8" t="s">
        <v>91</v>
      </c>
      <c r="AN12" s="8" t="s">
        <v>91</v>
      </c>
      <c r="AO12" s="9" t="s">
        <v>91</v>
      </c>
      <c r="AP12" s="9" t="s">
        <v>91</v>
      </c>
      <c r="AQ12" s="10" t="s">
        <v>104</v>
      </c>
      <c r="AR12" s="10">
        <v>3</v>
      </c>
      <c r="AS12" s="10">
        <v>4</v>
      </c>
      <c r="AT12" s="17">
        <v>8</v>
      </c>
      <c r="AU12" s="9" t="s">
        <v>113</v>
      </c>
      <c r="AV12" s="7"/>
      <c r="AW12" s="1"/>
      <c r="AX12" s="1"/>
      <c r="AY12" s="7"/>
      <c r="AZ12" s="15"/>
      <c r="BA12" s="15"/>
      <c r="BB12" s="15" t="s">
        <v>195</v>
      </c>
      <c r="BC12" s="15"/>
      <c r="BD12" s="15"/>
      <c r="BE12" s="15"/>
      <c r="BF12" s="15"/>
      <c r="BG12" s="15"/>
      <c r="BH12" s="15"/>
      <c r="BI12" s="7"/>
      <c r="BJ12" s="131" t="s">
        <v>93</v>
      </c>
      <c r="BK12" t="s">
        <v>251</v>
      </c>
      <c r="BL12" t="s">
        <v>178</v>
      </c>
      <c r="BM12">
        <v>6</v>
      </c>
      <c r="BN12"/>
      <c r="BO12"/>
      <c r="BP12" s="7"/>
      <c r="BQ12" s="123"/>
      <c r="BR12" s="123"/>
      <c r="BS12" s="123" t="s">
        <v>220</v>
      </c>
      <c r="BT12" s="122" t="s">
        <v>211</v>
      </c>
      <c r="BU12" s="122" t="s">
        <v>96</v>
      </c>
      <c r="BV12" s="121" t="s">
        <v>1093</v>
      </c>
      <c r="BW12" s="122">
        <v>1</v>
      </c>
      <c r="BX12" s="122">
        <v>1.5</v>
      </c>
      <c r="BZ12" s="103" t="s">
        <v>491</v>
      </c>
      <c r="CA12" s="104">
        <v>2</v>
      </c>
      <c r="CB12" s="103" t="s">
        <v>579</v>
      </c>
      <c r="CC12" s="104">
        <v>3.5</v>
      </c>
      <c r="CD12" s="103" t="s">
        <v>320</v>
      </c>
      <c r="CE12" s="104">
        <v>3</v>
      </c>
      <c r="CF12" s="103" t="s">
        <v>566</v>
      </c>
      <c r="CG12" s="104">
        <v>3.5</v>
      </c>
      <c r="CH12" s="103" t="s">
        <v>511</v>
      </c>
      <c r="CI12" s="104">
        <v>5.5</v>
      </c>
      <c r="CJ12" s="134" t="s">
        <v>501</v>
      </c>
      <c r="CK12" s="104">
        <v>0</v>
      </c>
      <c r="CL12" s="7"/>
      <c r="CM12" s="103" t="s">
        <v>540</v>
      </c>
      <c r="CN12" s="104">
        <v>4</v>
      </c>
      <c r="CO12" s="103" t="s">
        <v>528</v>
      </c>
      <c r="CP12" s="104">
        <v>5.5</v>
      </c>
      <c r="CQ12" s="103" t="s">
        <v>379</v>
      </c>
      <c r="CR12" s="104">
        <v>3</v>
      </c>
      <c r="CS12" s="103" t="s">
        <v>533</v>
      </c>
      <c r="CT12" s="104">
        <v>4.5</v>
      </c>
      <c r="CU12" s="103" t="s">
        <v>389</v>
      </c>
      <c r="CV12" s="104">
        <v>2</v>
      </c>
      <c r="CW12" s="103"/>
      <c r="CX12" s="104"/>
      <c r="CY12" s="103" t="s">
        <v>389</v>
      </c>
      <c r="CZ12" s="104">
        <v>2</v>
      </c>
    </row>
    <row r="13" spans="1:104" ht="33" x14ac:dyDescent="0.2">
      <c r="M13" s="9" t="s">
        <v>7</v>
      </c>
      <c r="N13" s="9" t="s">
        <v>418</v>
      </c>
      <c r="AF13" s="1" t="s">
        <v>129</v>
      </c>
      <c r="AG13" s="7"/>
      <c r="AH13" s="1" t="s">
        <v>135</v>
      </c>
      <c r="AI13" s="1" t="s">
        <v>101</v>
      </c>
      <c r="AJ13" s="1" t="s">
        <v>102</v>
      </c>
      <c r="AK13" s="1" t="s">
        <v>103</v>
      </c>
      <c r="AL13" s="9" t="s">
        <v>1119</v>
      </c>
      <c r="AM13" s="8" t="s">
        <v>91</v>
      </c>
      <c r="AN13" s="8" t="s">
        <v>91</v>
      </c>
      <c r="AO13" s="9" t="s">
        <v>91</v>
      </c>
      <c r="AP13" s="9" t="s">
        <v>91</v>
      </c>
      <c r="AQ13" s="10" t="s">
        <v>104</v>
      </c>
      <c r="AR13" s="10">
        <v>3</v>
      </c>
      <c r="AS13" s="10">
        <v>4</v>
      </c>
      <c r="AT13" s="17">
        <v>8</v>
      </c>
      <c r="AU13" s="9" t="s">
        <v>113</v>
      </c>
      <c r="AV13" s="7"/>
      <c r="AW13" s="1"/>
      <c r="AX13" s="1"/>
      <c r="AY13" s="7"/>
      <c r="AZ13" s="15"/>
      <c r="BA13" s="15"/>
      <c r="BB13" s="15" t="s">
        <v>197</v>
      </c>
      <c r="BI13" s="7"/>
      <c r="BJ13" s="131" t="s">
        <v>249</v>
      </c>
      <c r="BK13" t="s">
        <v>252</v>
      </c>
      <c r="BL13" t="s">
        <v>178</v>
      </c>
      <c r="BM13">
        <v>6</v>
      </c>
      <c r="BN13"/>
      <c r="BO13"/>
      <c r="BP13" s="7"/>
      <c r="BQ13" s="15"/>
      <c r="BR13" s="15"/>
      <c r="BS13" s="121" t="s">
        <v>427</v>
      </c>
      <c r="BT13" s="122" t="s">
        <v>211</v>
      </c>
      <c r="BU13" s="122" t="s">
        <v>96</v>
      </c>
      <c r="BV13" s="121" t="s">
        <v>213</v>
      </c>
      <c r="BW13" s="122">
        <v>1</v>
      </c>
      <c r="BX13" s="122">
        <v>1.5</v>
      </c>
      <c r="BZ13" s="103"/>
      <c r="CA13" s="104"/>
      <c r="CB13" s="103" t="s">
        <v>580</v>
      </c>
      <c r="CC13" s="104">
        <v>3.5</v>
      </c>
      <c r="CD13" s="103" t="s">
        <v>471</v>
      </c>
      <c r="CE13" s="104">
        <v>3</v>
      </c>
      <c r="CF13" s="103"/>
      <c r="CG13" s="104"/>
      <c r="CH13" s="103" t="s">
        <v>512</v>
      </c>
      <c r="CI13" s="104">
        <v>5.5</v>
      </c>
      <c r="CJ13" s="103" t="s">
        <v>458</v>
      </c>
      <c r="CK13" s="104">
        <v>3.5</v>
      </c>
      <c r="CL13" s="7"/>
      <c r="CM13" s="103" t="s">
        <v>383</v>
      </c>
      <c r="CN13" s="104">
        <v>4</v>
      </c>
      <c r="CO13" s="103" t="s">
        <v>529</v>
      </c>
      <c r="CP13" s="104">
        <v>5.5</v>
      </c>
      <c r="CQ13" s="103"/>
      <c r="CR13" s="104"/>
      <c r="CS13" s="103" t="s">
        <v>534</v>
      </c>
      <c r="CT13" s="104">
        <v>4.5</v>
      </c>
      <c r="CU13" s="103" t="s">
        <v>825</v>
      </c>
      <c r="CV13" s="104">
        <v>2</v>
      </c>
      <c r="CW13" s="103" t="s">
        <v>646</v>
      </c>
      <c r="CX13" s="104">
        <v>3.5</v>
      </c>
      <c r="CY13" s="103" t="s">
        <v>563</v>
      </c>
      <c r="CZ13" s="104">
        <v>2</v>
      </c>
    </row>
    <row r="14" spans="1:104" ht="33" x14ac:dyDescent="0.2">
      <c r="AF14" s="1" t="s">
        <v>133</v>
      </c>
      <c r="AG14" s="7"/>
      <c r="AH14" s="1"/>
      <c r="AI14" s="1"/>
      <c r="AJ14" s="1"/>
      <c r="AK14" s="1"/>
      <c r="AL14" s="1"/>
      <c r="AM14" s="8"/>
      <c r="AN14" s="8"/>
      <c r="AQ14" s="10"/>
      <c r="AR14" s="10"/>
      <c r="AS14" s="10"/>
      <c r="AT14" s="17"/>
      <c r="AV14" s="7"/>
      <c r="AW14" s="1"/>
      <c r="AX14" s="1"/>
      <c r="AY14" s="7"/>
      <c r="AZ14" s="15"/>
      <c r="BA14" s="15"/>
      <c r="BB14" s="15" t="s">
        <v>422</v>
      </c>
      <c r="BC14" s="15"/>
      <c r="BD14" s="15"/>
      <c r="BE14" s="15"/>
      <c r="BF14" s="15"/>
      <c r="BG14" s="15"/>
      <c r="BH14" s="15"/>
      <c r="BI14" s="7"/>
      <c r="BJ14" s="131" t="s">
        <v>252</v>
      </c>
      <c r="BK14" t="s">
        <v>253</v>
      </c>
      <c r="BL14" t="s">
        <v>178</v>
      </c>
      <c r="BM14">
        <v>8</v>
      </c>
      <c r="BN14"/>
      <c r="BO14"/>
      <c r="BP14" s="7"/>
      <c r="BQ14" s="15"/>
      <c r="BR14" s="15"/>
      <c r="BS14" s="1"/>
      <c r="BT14" s="122" t="s">
        <v>211</v>
      </c>
      <c r="BU14" s="122" t="s">
        <v>96</v>
      </c>
      <c r="BV14" s="121" t="s">
        <v>214</v>
      </c>
      <c r="BW14" s="122">
        <v>1</v>
      </c>
      <c r="BX14" s="122">
        <v>1.5</v>
      </c>
      <c r="BZ14" s="103" t="s">
        <v>492</v>
      </c>
      <c r="CA14" s="104">
        <v>3</v>
      </c>
      <c r="CB14" s="103" t="s">
        <v>581</v>
      </c>
      <c r="CC14" s="104">
        <v>3.5</v>
      </c>
      <c r="CD14" s="103"/>
      <c r="CE14" s="104"/>
      <c r="CF14" s="103" t="s">
        <v>517</v>
      </c>
      <c r="CG14" s="104">
        <v>4.5</v>
      </c>
      <c r="CH14" s="103" t="s">
        <v>509</v>
      </c>
      <c r="CI14" s="104">
        <v>6</v>
      </c>
      <c r="CJ14" s="103" t="s">
        <v>459</v>
      </c>
      <c r="CK14" s="104">
        <v>3.5</v>
      </c>
      <c r="CL14" s="7"/>
      <c r="CM14" s="103" t="s">
        <v>541</v>
      </c>
      <c r="CN14" s="104">
        <v>4</v>
      </c>
      <c r="CO14" s="103"/>
      <c r="CP14" s="104"/>
      <c r="CQ14" s="103" t="s">
        <v>549</v>
      </c>
      <c r="CR14" s="104">
        <v>3.5</v>
      </c>
      <c r="CS14" s="103" t="s">
        <v>535</v>
      </c>
      <c r="CT14" s="104">
        <v>4.5</v>
      </c>
      <c r="CU14" s="103" t="s">
        <v>564</v>
      </c>
      <c r="CV14" s="104">
        <v>2</v>
      </c>
      <c r="CW14" s="103" t="s">
        <v>647</v>
      </c>
      <c r="CX14" s="104">
        <v>3.5</v>
      </c>
      <c r="CY14" s="103" t="s">
        <v>825</v>
      </c>
      <c r="CZ14" s="104">
        <v>2</v>
      </c>
    </row>
    <row r="15" spans="1:104" ht="22" x14ac:dyDescent="0.2"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G15" s="7"/>
      <c r="AH15" s="1"/>
      <c r="AI15" s="1"/>
      <c r="AJ15" s="1"/>
      <c r="AK15" s="1"/>
      <c r="AL15" s="1"/>
      <c r="AM15" s="8"/>
      <c r="AN15" s="8"/>
      <c r="AQ15" s="10"/>
      <c r="AR15" s="10"/>
      <c r="AS15" s="10"/>
      <c r="AT15" s="17"/>
      <c r="AU15" s="1"/>
      <c r="AV15" s="7"/>
      <c r="AW15" s="1"/>
      <c r="AX15" s="1"/>
      <c r="AY15" s="7"/>
      <c r="AZ15" s="15"/>
      <c r="BA15" s="15"/>
      <c r="BB15" s="15" t="s">
        <v>1126</v>
      </c>
      <c r="BC15" s="15"/>
      <c r="BD15" s="15"/>
      <c r="BE15" s="15"/>
      <c r="BF15" s="15"/>
      <c r="BG15" s="15"/>
      <c r="BH15" s="15"/>
      <c r="BI15" s="7"/>
      <c r="BJ15" s="139" t="s">
        <v>332</v>
      </c>
      <c r="BK15" t="s">
        <v>168</v>
      </c>
      <c r="BL15" t="s">
        <v>178</v>
      </c>
      <c r="BM15">
        <v>8</v>
      </c>
      <c r="BN15"/>
      <c r="BO15"/>
      <c r="BP15" s="7"/>
      <c r="BQ15" s="15"/>
      <c r="BR15" s="15"/>
      <c r="BT15" s="122" t="s">
        <v>211</v>
      </c>
      <c r="BU15" s="122" t="s">
        <v>96</v>
      </c>
      <c r="BV15" s="121" t="s">
        <v>215</v>
      </c>
      <c r="BW15" s="122">
        <v>1</v>
      </c>
      <c r="BX15" s="122">
        <v>1.5</v>
      </c>
      <c r="BZ15" s="103" t="s">
        <v>493</v>
      </c>
      <c r="CA15" s="104">
        <v>3</v>
      </c>
      <c r="CB15" s="103" t="s">
        <v>582</v>
      </c>
      <c r="CC15" s="104">
        <v>3.5</v>
      </c>
      <c r="CD15" s="103" t="s">
        <v>472</v>
      </c>
      <c r="CE15" s="104">
        <v>3.5</v>
      </c>
      <c r="CF15" s="103" t="s">
        <v>518</v>
      </c>
      <c r="CG15" s="104">
        <v>4.5</v>
      </c>
      <c r="CH15" s="103" t="s">
        <v>515</v>
      </c>
      <c r="CI15" s="104">
        <v>6</v>
      </c>
      <c r="CJ15" s="103" t="s">
        <v>460</v>
      </c>
      <c r="CK15" s="104">
        <v>3.5</v>
      </c>
      <c r="CL15" s="7"/>
      <c r="CM15" s="103" t="s">
        <v>542</v>
      </c>
      <c r="CN15" s="104">
        <v>4</v>
      </c>
      <c r="CO15" s="103" t="s">
        <v>530</v>
      </c>
      <c r="CP15" s="104">
        <v>6.5</v>
      </c>
      <c r="CQ15" s="103" t="s">
        <v>550</v>
      </c>
      <c r="CR15" s="104">
        <v>3.5</v>
      </c>
      <c r="CS15" s="103" t="s">
        <v>536</v>
      </c>
      <c r="CT15" s="104">
        <v>4.5</v>
      </c>
      <c r="CU15" s="103"/>
      <c r="CV15" s="104"/>
      <c r="CW15" s="103" t="s">
        <v>648</v>
      </c>
      <c r="CX15" s="104">
        <v>3.5</v>
      </c>
      <c r="CY15" s="103" t="s">
        <v>564</v>
      </c>
      <c r="CZ15" s="104">
        <v>2</v>
      </c>
    </row>
    <row r="16" spans="1:104" ht="33" x14ac:dyDescent="0.2">
      <c r="AG16" s="7"/>
      <c r="AH16" s="1"/>
      <c r="AI16" s="1"/>
      <c r="AJ16" s="1"/>
      <c r="AK16" s="1"/>
      <c r="AL16" s="1"/>
      <c r="AM16" s="1"/>
      <c r="AN16" s="8"/>
      <c r="AQ16" s="10"/>
      <c r="AR16" s="10"/>
      <c r="AS16" s="10"/>
      <c r="AT16" s="18"/>
      <c r="AU16" s="1"/>
      <c r="AV16" s="7"/>
      <c r="AY16" s="7"/>
      <c r="AZ16" s="15"/>
      <c r="BA16" s="15"/>
      <c r="BB16" s="15" t="s">
        <v>196</v>
      </c>
      <c r="BC16" s="15"/>
      <c r="BD16" s="15"/>
      <c r="BE16" s="15"/>
      <c r="BF16" s="15"/>
      <c r="BG16" s="15"/>
      <c r="BH16" s="15"/>
      <c r="BI16" s="7"/>
      <c r="BJ16" s="131" t="s">
        <v>248</v>
      </c>
      <c r="BK16" t="s">
        <v>143</v>
      </c>
      <c r="BL16" t="s">
        <v>178</v>
      </c>
      <c r="BM16" t="s">
        <v>254</v>
      </c>
      <c r="BN16"/>
      <c r="BO16"/>
      <c r="BP16" s="7"/>
      <c r="BQ16" s="15"/>
      <c r="BR16" s="15"/>
      <c r="BT16" s="122" t="s">
        <v>211</v>
      </c>
      <c r="BU16" s="122" t="s">
        <v>86</v>
      </c>
      <c r="BV16" s="121" t="s">
        <v>212</v>
      </c>
      <c r="BW16" s="122">
        <v>0.5</v>
      </c>
      <c r="BX16" s="122">
        <v>1</v>
      </c>
      <c r="BZ16" s="103" t="s">
        <v>309</v>
      </c>
      <c r="CA16" s="104">
        <v>3</v>
      </c>
      <c r="CB16" s="103" t="s">
        <v>306</v>
      </c>
      <c r="CC16" s="104">
        <v>3.5</v>
      </c>
      <c r="CD16" s="103" t="s">
        <v>304</v>
      </c>
      <c r="CE16" s="104">
        <v>3.5</v>
      </c>
      <c r="CF16" s="103" t="s">
        <v>569</v>
      </c>
      <c r="CG16" s="104">
        <v>4.5</v>
      </c>
      <c r="CH16" s="103" t="s">
        <v>516</v>
      </c>
      <c r="CI16" s="104">
        <v>6</v>
      </c>
      <c r="CJ16" s="103" t="s">
        <v>328</v>
      </c>
      <c r="CK16" s="104">
        <v>3.5</v>
      </c>
      <c r="CL16" s="7"/>
      <c r="CM16" s="103"/>
      <c r="CN16" s="104"/>
      <c r="CO16" s="103" t="s">
        <v>531</v>
      </c>
      <c r="CP16" s="104">
        <v>6.5</v>
      </c>
      <c r="CQ16" s="103" t="s">
        <v>551</v>
      </c>
      <c r="CR16" s="104">
        <v>3.5</v>
      </c>
      <c r="CS16" s="103" t="s">
        <v>537</v>
      </c>
      <c r="CT16" s="104">
        <v>4.5</v>
      </c>
      <c r="CU16" s="103"/>
      <c r="CV16" s="104"/>
      <c r="CW16" s="103" t="s">
        <v>649</v>
      </c>
      <c r="CX16" s="104">
        <v>3.5</v>
      </c>
      <c r="CY16" s="103" t="s">
        <v>533</v>
      </c>
      <c r="CZ16" s="104">
        <v>2</v>
      </c>
    </row>
    <row r="17" spans="33:104" ht="22" x14ac:dyDescent="0.2">
      <c r="AG17" s="7"/>
      <c r="AH17" s="1"/>
      <c r="AI17" s="1"/>
      <c r="AJ17" s="1"/>
      <c r="AK17" s="1"/>
      <c r="AL17" s="1"/>
      <c r="AM17" s="1"/>
      <c r="AN17" s="8"/>
      <c r="AQ17" s="10"/>
      <c r="AR17" s="10"/>
      <c r="AS17" s="10"/>
      <c r="AT17" s="18"/>
      <c r="AU17" s="1"/>
      <c r="AV17" s="7"/>
      <c r="AW17" s="1"/>
      <c r="AX17" s="1"/>
      <c r="AY17" s="7"/>
      <c r="AZ17" s="15"/>
      <c r="BA17" s="15"/>
      <c r="BB17" s="15" t="s">
        <v>423</v>
      </c>
      <c r="BC17" s="15"/>
      <c r="BD17" s="15"/>
      <c r="BE17" s="15"/>
      <c r="BF17" s="15"/>
      <c r="BG17" s="15"/>
      <c r="BH17" s="15"/>
      <c r="BI17" s="7"/>
      <c r="BJ17" s="131" t="s">
        <v>261</v>
      </c>
      <c r="BK17" t="s">
        <v>138</v>
      </c>
      <c r="BL17" t="s">
        <v>178</v>
      </c>
      <c r="BM17">
        <v>2</v>
      </c>
      <c r="BN17"/>
      <c r="BO17"/>
      <c r="BP17" s="7"/>
      <c r="BQ17" s="15"/>
      <c r="BR17" s="15"/>
      <c r="BT17" s="122" t="s">
        <v>211</v>
      </c>
      <c r="BU17" s="16" t="s">
        <v>86</v>
      </c>
      <c r="BV17" s="121" t="s">
        <v>213</v>
      </c>
      <c r="BW17" s="122">
        <v>0.5</v>
      </c>
      <c r="BX17" s="122">
        <v>1</v>
      </c>
      <c r="BZ17" s="103" t="s">
        <v>570</v>
      </c>
      <c r="CA17" s="104">
        <v>3</v>
      </c>
      <c r="CB17" s="103" t="s">
        <v>583</v>
      </c>
      <c r="CC17" s="104">
        <v>3.5</v>
      </c>
      <c r="CD17" s="103" t="s">
        <v>473</v>
      </c>
      <c r="CE17" s="104">
        <v>3.5</v>
      </c>
      <c r="CF17" s="103"/>
      <c r="CG17" s="104"/>
      <c r="CH17" s="103" t="s">
        <v>514</v>
      </c>
      <c r="CI17" s="104">
        <v>6.5</v>
      </c>
      <c r="CJ17" s="103" t="s">
        <v>461</v>
      </c>
      <c r="CK17" s="104">
        <v>3.5</v>
      </c>
      <c r="CL17" s="7"/>
      <c r="CM17" s="103" t="s">
        <v>543</v>
      </c>
      <c r="CN17" s="104">
        <v>5</v>
      </c>
      <c r="CO17" s="103" t="s">
        <v>532</v>
      </c>
      <c r="CP17" s="104">
        <v>6.5</v>
      </c>
      <c r="CQ17" s="103" t="s">
        <v>552</v>
      </c>
      <c r="CR17" s="104">
        <v>3.5</v>
      </c>
      <c r="CS17" s="103"/>
      <c r="CT17" s="104"/>
      <c r="CU17" s="103" t="s">
        <v>617</v>
      </c>
      <c r="CV17" s="104">
        <v>3</v>
      </c>
      <c r="CW17" s="103" t="s">
        <v>650</v>
      </c>
      <c r="CX17" s="104">
        <v>3.5</v>
      </c>
      <c r="CY17" s="103" t="s">
        <v>534</v>
      </c>
      <c r="CZ17" s="104">
        <v>2</v>
      </c>
    </row>
    <row r="18" spans="33:104" ht="33" x14ac:dyDescent="0.2">
      <c r="AG18" s="7"/>
      <c r="AH18" s="1"/>
      <c r="AI18" s="1"/>
      <c r="AJ18" s="1"/>
      <c r="AK18" s="1"/>
      <c r="AL18" s="1"/>
      <c r="AM18" s="1"/>
      <c r="AN18" s="8"/>
      <c r="AQ18" s="10"/>
      <c r="AR18" s="10"/>
      <c r="AS18" s="10"/>
      <c r="AT18" s="18"/>
      <c r="AU18" s="1"/>
      <c r="AV18" s="7"/>
      <c r="AW18" s="1"/>
      <c r="AX18" s="1"/>
      <c r="AY18" s="7"/>
      <c r="AZ18" s="15"/>
      <c r="BA18" s="15"/>
      <c r="BB18" s="15" t="s">
        <v>1128</v>
      </c>
      <c r="BC18" s="15"/>
      <c r="BD18" s="15"/>
      <c r="BE18" s="15"/>
      <c r="BF18" s="15"/>
      <c r="BG18" s="15"/>
      <c r="BH18" s="15"/>
      <c r="BI18" s="7"/>
      <c r="BJ18" s="131" t="s">
        <v>251</v>
      </c>
      <c r="BK18" t="s">
        <v>105</v>
      </c>
      <c r="BL18" t="s">
        <v>179</v>
      </c>
      <c r="BM18">
        <v>4</v>
      </c>
      <c r="BN18"/>
      <c r="BO18"/>
      <c r="BP18" s="7"/>
      <c r="BQ18" s="15"/>
      <c r="BR18" s="15"/>
      <c r="BS18" s="124"/>
      <c r="BT18" s="122" t="s">
        <v>211</v>
      </c>
      <c r="BU18" s="122" t="s">
        <v>86</v>
      </c>
      <c r="BV18" s="121" t="s">
        <v>214</v>
      </c>
      <c r="BW18" s="122">
        <v>0.5</v>
      </c>
      <c r="BX18" s="122">
        <v>1</v>
      </c>
      <c r="BZ18" s="103" t="s">
        <v>495</v>
      </c>
      <c r="CA18" s="104">
        <v>3</v>
      </c>
      <c r="CB18" s="103"/>
      <c r="CC18" s="104"/>
      <c r="CD18" s="103" t="s">
        <v>303</v>
      </c>
      <c r="CE18" s="104">
        <v>3.5</v>
      </c>
      <c r="CF18" s="103" t="s">
        <v>520</v>
      </c>
      <c r="CG18" s="104">
        <v>5</v>
      </c>
      <c r="CH18" s="103" t="s">
        <v>517</v>
      </c>
      <c r="CI18" s="104">
        <v>6.5</v>
      </c>
      <c r="CJ18" s="134" t="s">
        <v>501</v>
      </c>
      <c r="CK18" s="104">
        <v>0</v>
      </c>
      <c r="CL18" s="7"/>
      <c r="CM18" s="103" t="s">
        <v>338</v>
      </c>
      <c r="CN18" s="104">
        <v>5</v>
      </c>
      <c r="CO18" s="103" t="s">
        <v>380</v>
      </c>
      <c r="CP18" s="104">
        <v>6.5</v>
      </c>
      <c r="CQ18" s="103" t="s">
        <v>339</v>
      </c>
      <c r="CR18" s="104">
        <v>3.5</v>
      </c>
      <c r="CS18" s="103" t="s">
        <v>628</v>
      </c>
      <c r="CT18" s="9">
        <v>5</v>
      </c>
      <c r="CU18" s="103" t="s">
        <v>618</v>
      </c>
      <c r="CV18" s="104">
        <v>3</v>
      </c>
      <c r="CW18" s="103" t="s">
        <v>651</v>
      </c>
      <c r="CX18" s="104">
        <v>3.5</v>
      </c>
      <c r="CY18" s="103" t="s">
        <v>535</v>
      </c>
      <c r="CZ18" s="104">
        <v>2</v>
      </c>
    </row>
    <row r="19" spans="33:104" ht="33" x14ac:dyDescent="0.2">
      <c r="AG19" s="7"/>
      <c r="AH19" s="1"/>
      <c r="AI19" s="1"/>
      <c r="AJ19" s="1"/>
      <c r="AK19" s="1"/>
      <c r="AL19" s="1"/>
      <c r="AM19" s="8"/>
      <c r="AN19" s="8"/>
      <c r="AQ19" s="10"/>
      <c r="AR19" s="10"/>
      <c r="AS19" s="10"/>
      <c r="AT19" s="17"/>
      <c r="AV19" s="7"/>
      <c r="AW19" s="1"/>
      <c r="AX19" s="1"/>
      <c r="AY19" s="7"/>
      <c r="AZ19" s="16"/>
      <c r="BA19" s="16"/>
      <c r="BB19" s="15" t="s">
        <v>424</v>
      </c>
      <c r="BC19" s="15"/>
      <c r="BD19" s="15"/>
      <c r="BE19" s="15"/>
      <c r="BF19" s="15"/>
      <c r="BG19" s="15"/>
      <c r="BH19" s="15"/>
      <c r="BI19" s="7"/>
      <c r="BJ19" s="131" t="s">
        <v>1110</v>
      </c>
      <c r="BK19" t="s">
        <v>110</v>
      </c>
      <c r="BL19" t="s">
        <v>179</v>
      </c>
      <c r="BM19">
        <v>8</v>
      </c>
      <c r="BN19"/>
      <c r="BO19"/>
      <c r="BP19" s="7"/>
      <c r="BQ19" s="15"/>
      <c r="BR19" s="1"/>
      <c r="BS19" s="124"/>
      <c r="BT19" s="122" t="s">
        <v>211</v>
      </c>
      <c r="BU19" s="122" t="s">
        <v>86</v>
      </c>
      <c r="BV19" s="121" t="s">
        <v>215</v>
      </c>
      <c r="BW19" s="122">
        <v>0.5</v>
      </c>
      <c r="BX19" s="122">
        <v>1</v>
      </c>
      <c r="BZ19" s="103" t="s">
        <v>496</v>
      </c>
      <c r="CA19" s="104">
        <v>3</v>
      </c>
      <c r="CB19" s="103" t="s">
        <v>588</v>
      </c>
      <c r="CC19" s="104">
        <v>4.5</v>
      </c>
      <c r="CD19" s="103" t="s">
        <v>474</v>
      </c>
      <c r="CE19" s="104">
        <v>3.5</v>
      </c>
      <c r="CF19" s="103" t="s">
        <v>521</v>
      </c>
      <c r="CG19" s="104">
        <v>5</v>
      </c>
      <c r="CH19" s="103" t="s">
        <v>513</v>
      </c>
      <c r="CI19" s="104">
        <v>6.5</v>
      </c>
      <c r="CJ19" s="103" t="s">
        <v>1102</v>
      </c>
      <c r="CK19" s="104">
        <v>4</v>
      </c>
      <c r="CL19" s="7"/>
      <c r="CM19" s="103" t="s">
        <v>387</v>
      </c>
      <c r="CN19" s="104">
        <v>5</v>
      </c>
      <c r="CO19" s="103"/>
      <c r="CP19" s="104"/>
      <c r="CQ19" s="103" t="s">
        <v>553</v>
      </c>
      <c r="CR19" s="104">
        <v>3.5</v>
      </c>
      <c r="CS19" s="103" t="s">
        <v>629</v>
      </c>
      <c r="CT19" s="104">
        <v>5</v>
      </c>
      <c r="CU19" s="103" t="s">
        <v>619</v>
      </c>
      <c r="CV19" s="104">
        <v>3</v>
      </c>
      <c r="CW19" s="103" t="s">
        <v>652</v>
      </c>
      <c r="CX19" s="104">
        <v>3.5</v>
      </c>
      <c r="CY19" s="103" t="s">
        <v>536</v>
      </c>
      <c r="CZ19" s="104">
        <v>2</v>
      </c>
    </row>
    <row r="20" spans="33:104" ht="22" x14ac:dyDescent="0.2">
      <c r="AG20" s="7"/>
      <c r="AH20" s="1"/>
      <c r="AI20" s="1"/>
      <c r="AJ20" s="1"/>
      <c r="AK20" s="1"/>
      <c r="AL20" s="1"/>
      <c r="AM20" s="8"/>
      <c r="AN20" s="8"/>
      <c r="AQ20" s="10"/>
      <c r="AR20" s="10"/>
      <c r="AS20" s="10"/>
      <c r="AT20" s="17"/>
      <c r="AU20" s="1"/>
      <c r="AV20" s="7"/>
      <c r="AW20" s="1"/>
      <c r="AX20" s="1"/>
      <c r="AY20" s="7"/>
      <c r="AZ20" s="15"/>
      <c r="BA20" s="15"/>
      <c r="BB20" s="15" t="s">
        <v>1129</v>
      </c>
      <c r="BC20" s="15" t="s">
        <v>199</v>
      </c>
      <c r="BD20" s="16" t="s">
        <v>106</v>
      </c>
      <c r="BE20" s="15" t="s">
        <v>420</v>
      </c>
      <c r="BF20" s="15">
        <v>1.5</v>
      </c>
      <c r="BG20" s="15">
        <v>1</v>
      </c>
      <c r="BH20" s="15">
        <v>0</v>
      </c>
      <c r="BI20" s="7"/>
      <c r="BJ20" s="131" t="s">
        <v>279</v>
      </c>
      <c r="BK20" t="s">
        <v>114</v>
      </c>
      <c r="BL20" t="s">
        <v>179</v>
      </c>
      <c r="BM20" t="s">
        <v>254</v>
      </c>
      <c r="BN20"/>
      <c r="BO20"/>
      <c r="BP20" s="7"/>
      <c r="BQ20" s="15"/>
      <c r="BS20"/>
      <c r="BT20" s="122" t="s">
        <v>216</v>
      </c>
      <c r="BU20" s="122" t="s">
        <v>106</v>
      </c>
      <c r="BV20" s="121" t="s">
        <v>1101</v>
      </c>
      <c r="BW20" s="122">
        <v>1.5</v>
      </c>
      <c r="BX20" s="122">
        <v>2</v>
      </c>
      <c r="BZ20" s="103" t="s">
        <v>571</v>
      </c>
      <c r="CA20" s="104">
        <v>3</v>
      </c>
      <c r="CB20" s="103" t="s">
        <v>589</v>
      </c>
      <c r="CC20" s="104">
        <v>4.5</v>
      </c>
      <c r="CD20" s="103" t="s">
        <v>475</v>
      </c>
      <c r="CE20" s="104">
        <v>3.5</v>
      </c>
      <c r="CF20" s="103" t="s">
        <v>522</v>
      </c>
      <c r="CG20" s="104">
        <v>5</v>
      </c>
      <c r="CH20" s="103" t="s">
        <v>519</v>
      </c>
      <c r="CI20" s="104">
        <v>6.5</v>
      </c>
      <c r="CJ20" s="103" t="s">
        <v>317</v>
      </c>
      <c r="CK20" s="104">
        <v>4</v>
      </c>
      <c r="CL20" s="7"/>
      <c r="CM20" s="103" t="s">
        <v>544</v>
      </c>
      <c r="CN20" s="104">
        <v>5</v>
      </c>
      <c r="CO20" s="103" t="s">
        <v>533</v>
      </c>
      <c r="CP20" s="104">
        <v>7</v>
      </c>
      <c r="CQ20" s="103" t="s">
        <v>554</v>
      </c>
      <c r="CR20" s="104">
        <v>3.5</v>
      </c>
      <c r="CS20" s="103" t="s">
        <v>630</v>
      </c>
      <c r="CT20" s="104">
        <v>5</v>
      </c>
      <c r="CU20" s="103" t="s">
        <v>620</v>
      </c>
      <c r="CV20" s="104">
        <v>3</v>
      </c>
      <c r="CW20" s="114"/>
      <c r="CX20"/>
      <c r="CY20" s="103" t="s">
        <v>537</v>
      </c>
      <c r="CZ20" s="9">
        <v>2</v>
      </c>
    </row>
    <row r="21" spans="33:104" ht="33" x14ac:dyDescent="0.2">
      <c r="AG21" s="7"/>
      <c r="AH21" s="1"/>
      <c r="AI21" s="1"/>
      <c r="AJ21" s="1"/>
      <c r="AK21" s="1"/>
      <c r="AL21" s="1"/>
      <c r="AM21" s="1"/>
      <c r="AN21" s="8"/>
      <c r="AQ21" s="10"/>
      <c r="AR21" s="10"/>
      <c r="AS21" s="10"/>
      <c r="AT21" s="18"/>
      <c r="AU21" s="1"/>
      <c r="AV21" s="7"/>
      <c r="AY21" s="7"/>
      <c r="AZ21" s="15"/>
      <c r="BA21" s="15"/>
      <c r="BB21" s="15" t="s">
        <v>425</v>
      </c>
      <c r="BC21" s="15"/>
      <c r="BD21" s="15"/>
      <c r="BE21" s="15"/>
      <c r="BF21" s="15"/>
      <c r="BG21" s="15"/>
      <c r="BH21" s="15"/>
      <c r="BI21" s="7"/>
      <c r="BJ21" s="131" t="s">
        <v>277</v>
      </c>
      <c r="BK21" t="s">
        <v>118</v>
      </c>
      <c r="BL21" t="s">
        <v>179</v>
      </c>
      <c r="BM21" t="s">
        <v>254</v>
      </c>
      <c r="BN21"/>
      <c r="BO21"/>
      <c r="BP21" s="7"/>
      <c r="BQ21" s="15"/>
      <c r="BS21"/>
      <c r="BT21" s="122" t="s">
        <v>216</v>
      </c>
      <c r="BU21" s="122" t="s">
        <v>106</v>
      </c>
      <c r="BV21" s="121" t="s">
        <v>217</v>
      </c>
      <c r="BW21" s="122">
        <v>2</v>
      </c>
      <c r="BX21" s="122">
        <v>2.5</v>
      </c>
      <c r="BZ21" s="103" t="s">
        <v>498</v>
      </c>
      <c r="CA21" s="104">
        <v>3</v>
      </c>
      <c r="CB21" s="103" t="s">
        <v>590</v>
      </c>
      <c r="CC21" s="104">
        <v>4.5</v>
      </c>
      <c r="CD21" s="103" t="s">
        <v>476</v>
      </c>
      <c r="CE21" s="104">
        <v>3.5</v>
      </c>
      <c r="CF21" s="103" t="s">
        <v>523</v>
      </c>
      <c r="CG21" s="104">
        <v>5</v>
      </c>
      <c r="CH21" s="103" t="s">
        <v>520</v>
      </c>
      <c r="CI21" s="104">
        <v>7</v>
      </c>
      <c r="CJ21" s="103" t="s">
        <v>314</v>
      </c>
      <c r="CK21" s="104">
        <v>4</v>
      </c>
      <c r="CL21" s="7"/>
      <c r="CM21" s="103"/>
      <c r="CN21" s="104"/>
      <c r="CO21" s="103" t="s">
        <v>534</v>
      </c>
      <c r="CP21" s="104">
        <v>7</v>
      </c>
      <c r="CQ21" s="103" t="s">
        <v>555</v>
      </c>
      <c r="CR21" s="104">
        <v>3.5</v>
      </c>
      <c r="CS21" s="103" t="s">
        <v>631</v>
      </c>
      <c r="CT21" s="104">
        <v>5</v>
      </c>
      <c r="CU21" s="103" t="s">
        <v>621</v>
      </c>
      <c r="CV21" s="104">
        <v>3</v>
      </c>
      <c r="CW21" s="103" t="s">
        <v>670</v>
      </c>
      <c r="CX21">
        <v>4.5</v>
      </c>
      <c r="CY21" s="103" t="s">
        <v>617</v>
      </c>
      <c r="CZ21" s="9">
        <v>3</v>
      </c>
    </row>
    <row r="22" spans="33:104" ht="33" x14ac:dyDescent="0.2">
      <c r="AG22" s="7"/>
      <c r="AH22" s="1"/>
      <c r="AI22" s="1"/>
      <c r="AJ22" s="1"/>
      <c r="AK22" s="1"/>
      <c r="AL22" s="1"/>
      <c r="AM22" s="1"/>
      <c r="AN22" s="8"/>
      <c r="AQ22" s="10"/>
      <c r="AR22" s="10"/>
      <c r="AS22" s="10"/>
      <c r="AT22" s="18"/>
      <c r="AU22" s="1"/>
      <c r="AV22" s="7"/>
      <c r="AY22" s="7"/>
      <c r="AZ22" s="15"/>
      <c r="BA22" s="15"/>
      <c r="BB22" s="15" t="s">
        <v>1127</v>
      </c>
      <c r="BC22" s="15"/>
      <c r="BD22" s="15"/>
      <c r="BE22" s="15"/>
      <c r="BF22" s="15"/>
      <c r="BG22" s="15"/>
      <c r="BH22" s="15"/>
      <c r="BJ22" s="131" t="s">
        <v>265</v>
      </c>
      <c r="BK22" t="s">
        <v>121</v>
      </c>
      <c r="BL22" t="s">
        <v>179</v>
      </c>
      <c r="BM22" t="s">
        <v>254</v>
      </c>
      <c r="BN22"/>
      <c r="BO22"/>
      <c r="BQ22" s="120"/>
      <c r="BS22" s="124"/>
      <c r="BT22" s="122" t="s">
        <v>216</v>
      </c>
      <c r="BU22" s="122" t="s">
        <v>106</v>
      </c>
      <c r="BV22" s="123" t="s">
        <v>218</v>
      </c>
      <c r="BW22" s="122">
        <v>2</v>
      </c>
      <c r="BX22" s="122">
        <v>2.5</v>
      </c>
      <c r="BZ22" s="103" t="s">
        <v>572</v>
      </c>
      <c r="CA22" s="104">
        <v>3</v>
      </c>
      <c r="CB22" s="103"/>
      <c r="CC22" s="104"/>
      <c r="CD22" s="103" t="s">
        <v>565</v>
      </c>
      <c r="CE22" s="104">
        <v>3.5</v>
      </c>
      <c r="CF22" s="103" t="s">
        <v>524</v>
      </c>
      <c r="CG22" s="104">
        <v>5</v>
      </c>
      <c r="CH22" s="103" t="s">
        <v>521</v>
      </c>
      <c r="CI22" s="104">
        <v>7</v>
      </c>
      <c r="CJ22" s="103" t="s">
        <v>315</v>
      </c>
      <c r="CK22" s="104">
        <v>4</v>
      </c>
      <c r="CL22" s="7"/>
      <c r="CM22" s="103" t="s">
        <v>545</v>
      </c>
      <c r="CN22" s="104">
        <v>5.5</v>
      </c>
      <c r="CO22" s="103" t="s">
        <v>535</v>
      </c>
      <c r="CP22" s="104">
        <v>7</v>
      </c>
      <c r="CQ22" s="103" t="s">
        <v>556</v>
      </c>
      <c r="CR22" s="104">
        <v>3.5</v>
      </c>
      <c r="CS22" s="103"/>
      <c r="CT22" s="104"/>
      <c r="CU22" s="103" t="s">
        <v>622</v>
      </c>
      <c r="CV22" s="104">
        <v>3</v>
      </c>
      <c r="CW22" s="103" t="s">
        <v>671</v>
      </c>
      <c r="CX22">
        <v>4.5</v>
      </c>
      <c r="CY22" s="103" t="s">
        <v>618</v>
      </c>
      <c r="CZ22" s="9">
        <v>3</v>
      </c>
    </row>
    <row r="23" spans="33:104" ht="22" x14ac:dyDescent="0.2">
      <c r="AG23" s="7"/>
      <c r="AH23" s="1"/>
      <c r="AI23" s="1"/>
      <c r="AJ23" s="1"/>
      <c r="AK23" s="1"/>
      <c r="AL23" s="1"/>
      <c r="AM23" s="1"/>
      <c r="AN23" s="8"/>
      <c r="AQ23" s="10"/>
      <c r="AR23" s="10"/>
      <c r="AS23" s="10"/>
      <c r="AT23" s="18"/>
      <c r="AU23" s="1"/>
      <c r="AV23" s="7"/>
      <c r="AY23" s="7"/>
      <c r="BC23" s="15" t="s">
        <v>200</v>
      </c>
      <c r="BD23" s="15" t="s">
        <v>106</v>
      </c>
      <c r="BE23" s="15" t="s">
        <v>421</v>
      </c>
      <c r="BF23" s="15">
        <v>2</v>
      </c>
      <c r="BG23" s="15">
        <v>1</v>
      </c>
      <c r="BH23" s="15">
        <v>0</v>
      </c>
      <c r="BJ23" s="131" t="s">
        <v>246</v>
      </c>
      <c r="BK23" t="s">
        <v>255</v>
      </c>
      <c r="BL23" t="s">
        <v>178</v>
      </c>
      <c r="BM23">
        <v>4</v>
      </c>
      <c r="BN23"/>
      <c r="BO23"/>
      <c r="BQ23" s="15"/>
      <c r="BR23" s="124"/>
      <c r="BS23" s="124"/>
      <c r="BT23" s="122" t="s">
        <v>216</v>
      </c>
      <c r="BU23" s="122" t="s">
        <v>106</v>
      </c>
      <c r="BV23" s="121" t="s">
        <v>219</v>
      </c>
      <c r="BW23" s="122">
        <v>2</v>
      </c>
      <c r="BX23" s="122">
        <v>2.5</v>
      </c>
      <c r="BZ23" s="103" t="s">
        <v>499</v>
      </c>
      <c r="CA23" s="104">
        <v>3</v>
      </c>
      <c r="CB23" s="103" t="s">
        <v>599</v>
      </c>
      <c r="CC23" s="104">
        <v>5</v>
      </c>
      <c r="CD23" s="103" t="s">
        <v>305</v>
      </c>
      <c r="CE23" s="104">
        <v>3.5</v>
      </c>
      <c r="CF23" s="103"/>
      <c r="CG23" s="104"/>
      <c r="CH23" s="103" t="s">
        <v>522</v>
      </c>
      <c r="CI23" s="104">
        <v>7</v>
      </c>
      <c r="CJ23" s="103" t="s">
        <v>462</v>
      </c>
      <c r="CK23" s="104">
        <v>4</v>
      </c>
      <c r="CL23" s="7"/>
      <c r="CM23" s="103" t="s">
        <v>546</v>
      </c>
      <c r="CN23" s="104">
        <v>5.5</v>
      </c>
      <c r="CO23" s="103" t="s">
        <v>536</v>
      </c>
      <c r="CP23" s="104">
        <v>7</v>
      </c>
      <c r="CQ23" s="103"/>
      <c r="CR23" s="104"/>
      <c r="CS23" s="103" t="s">
        <v>646</v>
      </c>
      <c r="CT23" s="104">
        <v>6</v>
      </c>
      <c r="CU23" s="103" t="s">
        <v>623</v>
      </c>
      <c r="CV23" s="104">
        <v>3</v>
      </c>
      <c r="CW23" s="103" t="s">
        <v>672</v>
      </c>
      <c r="CX23" s="104">
        <v>4.5</v>
      </c>
      <c r="CY23" s="103" t="s">
        <v>619</v>
      </c>
      <c r="CZ23" s="9">
        <v>3</v>
      </c>
    </row>
    <row r="24" spans="33:104" ht="22" x14ac:dyDescent="0.2">
      <c r="AG24" s="7"/>
      <c r="AH24" s="1"/>
      <c r="AI24" s="1"/>
      <c r="AJ24" s="1"/>
      <c r="AK24" s="1"/>
      <c r="AL24" s="1"/>
      <c r="AM24" s="8"/>
      <c r="AN24" s="8"/>
      <c r="AQ24" s="10"/>
      <c r="AR24" s="10"/>
      <c r="AS24" s="10"/>
      <c r="AT24" s="18"/>
      <c r="AV24" s="7"/>
      <c r="AY24" s="7"/>
      <c r="AZ24" s="15"/>
      <c r="BA24" s="15"/>
      <c r="BC24" s="15"/>
      <c r="BD24" s="15"/>
      <c r="BE24" s="15"/>
      <c r="BF24" s="15"/>
      <c r="BG24" s="15"/>
      <c r="BH24" s="15"/>
      <c r="BJ24" s="131" t="s">
        <v>149</v>
      </c>
      <c r="BK24" t="s">
        <v>256</v>
      </c>
      <c r="BL24" t="s">
        <v>141</v>
      </c>
      <c r="BM24">
        <v>4</v>
      </c>
      <c r="BN24"/>
      <c r="BO24"/>
      <c r="BQ24" s="15"/>
      <c r="BR24" s="124"/>
      <c r="BS24" s="125"/>
      <c r="BT24" s="122" t="s">
        <v>216</v>
      </c>
      <c r="BU24" s="122" t="s">
        <v>106</v>
      </c>
      <c r="BV24" s="121" t="s">
        <v>220</v>
      </c>
      <c r="BW24" s="122">
        <v>2</v>
      </c>
      <c r="BX24" s="122">
        <v>2.5</v>
      </c>
      <c r="BZ24" s="103" t="s">
        <v>500</v>
      </c>
      <c r="CA24" s="104">
        <v>3</v>
      </c>
      <c r="CB24" s="103" t="s">
        <v>600</v>
      </c>
      <c r="CC24" s="104">
        <v>5</v>
      </c>
      <c r="CD24" s="103" t="s">
        <v>478</v>
      </c>
      <c r="CE24" s="104">
        <v>3.5</v>
      </c>
      <c r="CF24" s="103" t="s">
        <v>579</v>
      </c>
      <c r="CG24" s="9">
        <v>6</v>
      </c>
      <c r="CH24" s="103" t="s">
        <v>523</v>
      </c>
      <c r="CI24" s="104">
        <v>7</v>
      </c>
      <c r="CJ24" s="103" t="s">
        <v>463</v>
      </c>
      <c r="CK24" s="104">
        <v>4</v>
      </c>
      <c r="CL24" s="7"/>
      <c r="CM24" s="103" t="s">
        <v>547</v>
      </c>
      <c r="CN24" s="104">
        <v>5.5</v>
      </c>
      <c r="CO24" s="103" t="s">
        <v>537</v>
      </c>
      <c r="CP24" s="104">
        <v>7</v>
      </c>
      <c r="CQ24" s="103" t="s">
        <v>557</v>
      </c>
      <c r="CR24" s="104">
        <v>4.5</v>
      </c>
      <c r="CS24" s="103" t="s">
        <v>647</v>
      </c>
      <c r="CT24" s="104">
        <v>6</v>
      </c>
      <c r="CU24" s="103" t="s">
        <v>624</v>
      </c>
      <c r="CV24" s="104">
        <v>3</v>
      </c>
      <c r="CW24" s="103" t="s">
        <v>673</v>
      </c>
      <c r="CX24" s="104">
        <v>4.5</v>
      </c>
      <c r="CY24" s="103" t="s">
        <v>620</v>
      </c>
      <c r="CZ24" s="9">
        <v>3</v>
      </c>
    </row>
    <row r="25" spans="33:104" ht="22" x14ac:dyDescent="0.2">
      <c r="AG25" s="7"/>
      <c r="AH25" s="1"/>
      <c r="AI25" s="1"/>
      <c r="AJ25" s="1"/>
      <c r="AK25" s="1"/>
      <c r="AL25" s="1"/>
      <c r="AM25" s="1"/>
      <c r="AN25" s="8"/>
      <c r="AQ25" s="10"/>
      <c r="AR25" s="10"/>
      <c r="AS25" s="10"/>
      <c r="AT25" s="18"/>
      <c r="AV25" s="7"/>
      <c r="AY25" s="7"/>
      <c r="AZ25" s="15"/>
      <c r="BA25" s="15"/>
      <c r="BC25" s="15"/>
      <c r="BD25" s="15"/>
      <c r="BE25" s="15"/>
      <c r="BF25" s="15"/>
      <c r="BG25" s="15"/>
      <c r="BH25" s="15"/>
      <c r="BJ25" s="131" t="s">
        <v>267</v>
      </c>
      <c r="BK25" t="s">
        <v>257</v>
      </c>
      <c r="BL25" t="s">
        <v>178</v>
      </c>
      <c r="BM25" t="s">
        <v>254</v>
      </c>
      <c r="BN25"/>
      <c r="BO25"/>
      <c r="BQ25" s="15"/>
      <c r="BS25" s="125"/>
      <c r="BT25" s="122" t="s">
        <v>216</v>
      </c>
      <c r="BU25" s="122" t="s">
        <v>96</v>
      </c>
      <c r="BV25" s="121" t="s">
        <v>1101</v>
      </c>
      <c r="BW25" s="122">
        <v>1</v>
      </c>
      <c r="BX25" s="122">
        <v>1.5</v>
      </c>
      <c r="BZ25" s="103"/>
      <c r="CA25" s="104"/>
      <c r="CB25" s="103" t="s">
        <v>601</v>
      </c>
      <c r="CC25" s="104">
        <v>5</v>
      </c>
      <c r="CD25" s="103" t="s">
        <v>479</v>
      </c>
      <c r="CE25" s="104">
        <v>3.5</v>
      </c>
      <c r="CF25" s="103" t="s">
        <v>580</v>
      </c>
      <c r="CG25" s="104">
        <v>6</v>
      </c>
      <c r="CH25" s="103" t="s">
        <v>1116</v>
      </c>
      <c r="CI25" s="104">
        <v>7</v>
      </c>
      <c r="CJ25" s="134" t="s">
        <v>501</v>
      </c>
      <c r="CK25" s="104">
        <v>0</v>
      </c>
      <c r="CL25" s="7"/>
      <c r="CM25" s="103" t="s">
        <v>548</v>
      </c>
      <c r="CN25" s="104">
        <v>5.5</v>
      </c>
      <c r="CO25" s="103" t="s">
        <v>631</v>
      </c>
      <c r="CP25" s="104">
        <v>7</v>
      </c>
      <c r="CQ25" s="103" t="s">
        <v>558</v>
      </c>
      <c r="CR25" s="104">
        <v>4.5</v>
      </c>
      <c r="CS25" s="103" t="s">
        <v>648</v>
      </c>
      <c r="CT25" s="104">
        <v>6</v>
      </c>
      <c r="CU25" s="103" t="s">
        <v>625</v>
      </c>
      <c r="CV25" s="104">
        <v>3</v>
      </c>
      <c r="CW25" s="103" t="s">
        <v>388</v>
      </c>
      <c r="CX25" s="104">
        <v>4.5</v>
      </c>
      <c r="CY25" s="103" t="s">
        <v>621</v>
      </c>
      <c r="CZ25" s="9">
        <v>3</v>
      </c>
    </row>
    <row r="26" spans="33:104" ht="33" x14ac:dyDescent="0.2">
      <c r="AG26" s="7"/>
      <c r="AH26" s="1"/>
      <c r="AI26" s="1"/>
      <c r="AJ26" s="1"/>
      <c r="AK26" s="1"/>
      <c r="AL26" s="1"/>
      <c r="AM26" s="1"/>
      <c r="AN26" s="8"/>
      <c r="AQ26" s="10"/>
      <c r="AR26" s="10"/>
      <c r="AS26" s="10"/>
      <c r="AT26" s="18"/>
      <c r="AV26" s="7"/>
      <c r="AY26" s="7"/>
      <c r="AZ26" s="15"/>
      <c r="BA26" s="15"/>
      <c r="BC26" s="15" t="s">
        <v>194</v>
      </c>
      <c r="BD26" s="15" t="s">
        <v>106</v>
      </c>
      <c r="BE26" s="15" t="s">
        <v>193</v>
      </c>
      <c r="BF26" s="15">
        <v>1.5</v>
      </c>
      <c r="BG26" s="15">
        <v>0</v>
      </c>
      <c r="BH26" s="15">
        <v>0</v>
      </c>
      <c r="BJ26" s="131" t="s">
        <v>150</v>
      </c>
      <c r="BK26" t="s">
        <v>258</v>
      </c>
      <c r="BL26" t="s">
        <v>178</v>
      </c>
      <c r="BM26" t="s">
        <v>254</v>
      </c>
      <c r="BN26"/>
      <c r="BO26"/>
      <c r="BQ26" s="15"/>
      <c r="BS26" s="124"/>
      <c r="BT26" s="122" t="s">
        <v>216</v>
      </c>
      <c r="BU26" s="122" t="s">
        <v>96</v>
      </c>
      <c r="BV26" s="121" t="s">
        <v>217</v>
      </c>
      <c r="BW26" s="122">
        <v>1.5</v>
      </c>
      <c r="BX26" s="122">
        <v>2</v>
      </c>
      <c r="BZ26" s="103" t="s">
        <v>573</v>
      </c>
      <c r="CA26" s="104">
        <v>3.5</v>
      </c>
      <c r="CB26" s="103" t="s">
        <v>602</v>
      </c>
      <c r="CC26" s="104">
        <v>5</v>
      </c>
      <c r="CD26" s="103" t="s">
        <v>480</v>
      </c>
      <c r="CE26" s="104">
        <v>3.5</v>
      </c>
      <c r="CF26" s="103" t="s">
        <v>581</v>
      </c>
      <c r="CG26" s="104">
        <v>6</v>
      </c>
      <c r="CH26" s="103" t="s">
        <v>524</v>
      </c>
      <c r="CI26" s="104">
        <v>7</v>
      </c>
      <c r="CJ26" s="103" t="s">
        <v>464</v>
      </c>
      <c r="CK26" s="104">
        <v>5</v>
      </c>
      <c r="CL26" s="7"/>
      <c r="CM26" s="103" t="s">
        <v>385</v>
      </c>
      <c r="CN26" s="104">
        <v>5.5</v>
      </c>
      <c r="CO26" s="103"/>
      <c r="CP26" s="104"/>
      <c r="CQ26" s="103" t="s">
        <v>559</v>
      </c>
      <c r="CR26" s="104">
        <v>4.5</v>
      </c>
      <c r="CS26" s="103" t="s">
        <v>649</v>
      </c>
      <c r="CT26" s="104">
        <v>6</v>
      </c>
      <c r="CU26" s="103" t="s">
        <v>626</v>
      </c>
      <c r="CV26" s="104">
        <v>3</v>
      </c>
      <c r="CW26" s="103" t="s">
        <v>674</v>
      </c>
      <c r="CX26" s="104">
        <v>4.5</v>
      </c>
      <c r="CY26" s="103" t="s">
        <v>622</v>
      </c>
      <c r="CZ26" s="9">
        <v>3</v>
      </c>
    </row>
    <row r="27" spans="33:104" ht="33" x14ac:dyDescent="0.2">
      <c r="AG27" s="7"/>
      <c r="AH27" s="1"/>
      <c r="AI27" s="1"/>
      <c r="AJ27" s="1"/>
      <c r="AK27" s="1"/>
      <c r="AL27" s="1"/>
      <c r="AM27" s="1"/>
      <c r="AN27" s="8"/>
      <c r="AO27" s="8"/>
      <c r="AP27" s="8"/>
      <c r="AQ27" s="18"/>
      <c r="AR27" s="10"/>
      <c r="AS27" s="10"/>
      <c r="AT27" s="18"/>
      <c r="AV27" s="7"/>
      <c r="AY27" s="7"/>
      <c r="AZ27" s="15"/>
      <c r="BC27" s="15" t="s">
        <v>194</v>
      </c>
      <c r="BD27" s="15" t="s">
        <v>106</v>
      </c>
      <c r="BE27" s="15" t="s">
        <v>132</v>
      </c>
      <c r="BF27" s="15">
        <v>1.5</v>
      </c>
      <c r="BG27" s="15">
        <v>0</v>
      </c>
      <c r="BH27" s="15">
        <v>1</v>
      </c>
      <c r="BJ27" s="131" t="s">
        <v>253</v>
      </c>
      <c r="BK27" t="s">
        <v>259</v>
      </c>
      <c r="BL27" t="s">
        <v>178</v>
      </c>
      <c r="BM27" t="s">
        <v>254</v>
      </c>
      <c r="BN27"/>
      <c r="BO27"/>
      <c r="BQ27" s="15"/>
      <c r="BS27" s="124"/>
      <c r="BT27" s="122" t="s">
        <v>216</v>
      </c>
      <c r="BU27" s="122" t="s">
        <v>96</v>
      </c>
      <c r="BV27" s="123" t="s">
        <v>218</v>
      </c>
      <c r="BW27" s="122">
        <v>1.5</v>
      </c>
      <c r="BX27" s="122">
        <v>2</v>
      </c>
      <c r="BZ27" s="103" t="s">
        <v>574</v>
      </c>
      <c r="CA27" s="104">
        <v>3.5</v>
      </c>
      <c r="CB27" s="103" t="s">
        <v>603</v>
      </c>
      <c r="CC27" s="104">
        <v>5</v>
      </c>
      <c r="CD27" s="103" t="s">
        <v>481</v>
      </c>
      <c r="CE27" s="104">
        <v>3.5</v>
      </c>
      <c r="CF27" s="103" t="s">
        <v>582</v>
      </c>
      <c r="CG27" s="9">
        <v>6</v>
      </c>
      <c r="CH27" s="103"/>
      <c r="CI27" s="104"/>
      <c r="CJ27" s="103" t="s">
        <v>465</v>
      </c>
      <c r="CK27" s="104">
        <v>5</v>
      </c>
      <c r="CL27" s="7"/>
      <c r="CM27" s="103" t="s">
        <v>379</v>
      </c>
      <c r="CN27" s="104">
        <v>5.5</v>
      </c>
      <c r="CO27" s="103"/>
      <c r="CP27" s="104"/>
      <c r="CQ27" s="103" t="s">
        <v>340</v>
      </c>
      <c r="CR27" s="104">
        <v>4.5</v>
      </c>
      <c r="CS27" s="103" t="s">
        <v>650</v>
      </c>
      <c r="CT27" s="104">
        <v>6</v>
      </c>
      <c r="CU27" s="103" t="s">
        <v>627</v>
      </c>
      <c r="CV27" s="104">
        <v>3</v>
      </c>
      <c r="CW27" s="115"/>
      <c r="CX27" s="115"/>
      <c r="CY27" s="103" t="s">
        <v>623</v>
      </c>
      <c r="CZ27" s="9">
        <v>3</v>
      </c>
    </row>
    <row r="28" spans="33:104" ht="33" x14ac:dyDescent="0.2">
      <c r="AG28" s="7"/>
      <c r="AH28" s="1"/>
      <c r="AI28" s="1"/>
      <c r="AJ28" s="1"/>
      <c r="AK28" s="1"/>
      <c r="AL28" s="1"/>
      <c r="AM28" s="1"/>
      <c r="AN28" s="8"/>
      <c r="AO28" s="8"/>
      <c r="AP28" s="8"/>
      <c r="AQ28" s="18"/>
      <c r="AR28" s="10"/>
      <c r="AS28" s="10"/>
      <c r="AT28" s="18"/>
      <c r="AV28" s="7"/>
      <c r="AY28" s="7"/>
      <c r="AZ28" s="15"/>
      <c r="BA28" s="15"/>
      <c r="BC28" s="15" t="s">
        <v>194</v>
      </c>
      <c r="BD28" s="15" t="s">
        <v>106</v>
      </c>
      <c r="BE28" s="15" t="s">
        <v>139</v>
      </c>
      <c r="BF28" s="15">
        <v>1.5</v>
      </c>
      <c r="BG28" s="15">
        <v>0</v>
      </c>
      <c r="BH28" s="15">
        <v>0</v>
      </c>
      <c r="BJ28" s="131" t="s">
        <v>247</v>
      </c>
      <c r="BK28" t="s">
        <v>260</v>
      </c>
      <c r="BL28" t="s">
        <v>178</v>
      </c>
      <c r="BM28" t="s">
        <v>254</v>
      </c>
      <c r="BN28"/>
      <c r="BO28"/>
      <c r="BQ28" s="15"/>
      <c r="BT28" s="122" t="s">
        <v>216</v>
      </c>
      <c r="BU28" s="122" t="s">
        <v>96</v>
      </c>
      <c r="BV28" s="121" t="s">
        <v>219</v>
      </c>
      <c r="BW28" s="122">
        <v>1.5</v>
      </c>
      <c r="BX28" s="122">
        <v>2</v>
      </c>
      <c r="BZ28" s="103" t="s">
        <v>575</v>
      </c>
      <c r="CA28" s="104">
        <v>3.5</v>
      </c>
      <c r="CB28" s="103"/>
      <c r="CC28" s="104"/>
      <c r="CD28" s="103"/>
      <c r="CE28" s="104"/>
      <c r="CF28" s="103" t="s">
        <v>306</v>
      </c>
      <c r="CG28" s="9">
        <v>6</v>
      </c>
      <c r="CH28" s="103"/>
      <c r="CI28" s="104"/>
      <c r="CJ28" s="103" t="s">
        <v>318</v>
      </c>
      <c r="CK28" s="104">
        <v>5</v>
      </c>
      <c r="CL28" s="7"/>
      <c r="CM28" s="103"/>
      <c r="CN28" s="104"/>
      <c r="CO28" s="103"/>
      <c r="CP28" s="104"/>
      <c r="CQ28" s="103" t="s">
        <v>560</v>
      </c>
      <c r="CR28" s="104">
        <v>4.5</v>
      </c>
      <c r="CS28" s="103" t="s">
        <v>651</v>
      </c>
      <c r="CT28" s="104">
        <v>6</v>
      </c>
      <c r="CU28" s="103"/>
      <c r="CV28" s="104"/>
      <c r="CW28" s="103" t="s">
        <v>690</v>
      </c>
      <c r="CX28" s="115">
        <v>5</v>
      </c>
      <c r="CY28" s="103" t="s">
        <v>624</v>
      </c>
      <c r="CZ28" s="9">
        <v>3</v>
      </c>
    </row>
    <row r="29" spans="33:104" ht="22" x14ac:dyDescent="0.2">
      <c r="AG29" s="7"/>
      <c r="AH29" s="1"/>
      <c r="AI29" s="1"/>
      <c r="AJ29" s="1"/>
      <c r="AK29" s="1"/>
      <c r="AL29" s="1"/>
      <c r="AM29" s="8"/>
      <c r="AN29" s="8"/>
      <c r="AQ29" s="10"/>
      <c r="AR29" s="10"/>
      <c r="AS29" s="10"/>
      <c r="AT29" s="18"/>
      <c r="AV29" s="7"/>
      <c r="AY29" s="7"/>
      <c r="AZ29" s="120"/>
      <c r="BC29" s="15" t="s">
        <v>194</v>
      </c>
      <c r="BD29" s="15" t="s">
        <v>106</v>
      </c>
      <c r="BE29" s="15" t="s">
        <v>136</v>
      </c>
      <c r="BF29" s="15">
        <v>1.5</v>
      </c>
      <c r="BG29" s="15">
        <v>0</v>
      </c>
      <c r="BH29" s="15">
        <v>0</v>
      </c>
      <c r="BJ29" s="131" t="s">
        <v>268</v>
      </c>
      <c r="BK29" t="s">
        <v>261</v>
      </c>
      <c r="BL29" t="s">
        <v>178</v>
      </c>
      <c r="BM29">
        <v>6</v>
      </c>
      <c r="BN29"/>
      <c r="BO29"/>
      <c r="BQ29" s="15"/>
      <c r="BT29" s="122" t="s">
        <v>216</v>
      </c>
      <c r="BU29" s="122" t="s">
        <v>96</v>
      </c>
      <c r="BV29" s="121" t="s">
        <v>220</v>
      </c>
      <c r="BW29" s="122">
        <v>1.5</v>
      </c>
      <c r="BX29" s="122">
        <v>2</v>
      </c>
      <c r="BZ29" s="103" t="s">
        <v>576</v>
      </c>
      <c r="CA29" s="104">
        <v>3.5</v>
      </c>
      <c r="CB29" s="103" t="s">
        <v>609</v>
      </c>
      <c r="CC29" s="104">
        <v>5.5</v>
      </c>
      <c r="CD29" s="103" t="s">
        <v>482</v>
      </c>
      <c r="CE29" s="104">
        <v>4.5</v>
      </c>
      <c r="CF29" s="103" t="s">
        <v>583</v>
      </c>
      <c r="CG29" s="9">
        <v>6</v>
      </c>
      <c r="CH29" s="103"/>
      <c r="CI29" s="104"/>
      <c r="CJ29" s="103" t="s">
        <v>466</v>
      </c>
      <c r="CK29" s="104">
        <v>5</v>
      </c>
      <c r="CL29" s="7"/>
      <c r="CM29" s="103" t="s">
        <v>549</v>
      </c>
      <c r="CN29" s="104">
        <v>6.5</v>
      </c>
      <c r="CO29" s="103"/>
      <c r="CP29" s="104"/>
      <c r="CQ29" s="103" t="s">
        <v>561</v>
      </c>
      <c r="CR29" s="104">
        <v>4.5</v>
      </c>
      <c r="CS29" s="103" t="s">
        <v>652</v>
      </c>
      <c r="CT29" s="104">
        <v>6</v>
      </c>
      <c r="CU29" s="103" t="s">
        <v>632</v>
      </c>
      <c r="CV29" s="104">
        <v>3.5</v>
      </c>
      <c r="CW29" s="103" t="s">
        <v>691</v>
      </c>
      <c r="CX29" s="115">
        <v>5</v>
      </c>
      <c r="CY29" s="103" t="s">
        <v>625</v>
      </c>
      <c r="CZ29" s="9">
        <v>3</v>
      </c>
    </row>
    <row r="30" spans="33:104" ht="22" x14ac:dyDescent="0.2">
      <c r="AG30" s="7"/>
      <c r="AH30" s="1"/>
      <c r="AI30" s="1"/>
      <c r="AJ30" s="1"/>
      <c r="AK30" s="1"/>
      <c r="AL30" s="1"/>
      <c r="AM30" s="1"/>
      <c r="AN30" s="8"/>
      <c r="AQ30" s="10"/>
      <c r="AR30" s="10"/>
      <c r="AS30" s="10"/>
      <c r="AT30" s="18"/>
      <c r="AV30" s="7"/>
      <c r="AY30" s="7"/>
      <c r="AZ30" s="15"/>
      <c r="BC30" s="15" t="s">
        <v>194</v>
      </c>
      <c r="BD30" s="15" t="s">
        <v>106</v>
      </c>
      <c r="BE30" s="15" t="s">
        <v>131</v>
      </c>
      <c r="BF30" s="15">
        <v>1.5</v>
      </c>
      <c r="BG30" s="15">
        <v>0</v>
      </c>
      <c r="BH30" s="15">
        <v>1</v>
      </c>
      <c r="BJ30" s="131" t="s">
        <v>153</v>
      </c>
      <c r="BK30" s="19" t="s">
        <v>332</v>
      </c>
      <c r="BL30" t="s">
        <v>178</v>
      </c>
      <c r="BM30">
        <v>6</v>
      </c>
      <c r="BN30"/>
      <c r="BO30"/>
      <c r="BQ30" s="15"/>
      <c r="BR30" s="125"/>
      <c r="BT30" s="122" t="s">
        <v>216</v>
      </c>
      <c r="BU30" s="122" t="s">
        <v>86</v>
      </c>
      <c r="BV30" s="121" t="s">
        <v>1101</v>
      </c>
      <c r="BW30" s="122">
        <v>0.5</v>
      </c>
      <c r="BX30" s="122">
        <v>1</v>
      </c>
      <c r="BZ30" s="103" t="s">
        <v>577</v>
      </c>
      <c r="CA30" s="104">
        <v>3.5</v>
      </c>
      <c r="CB30" s="103" t="s">
        <v>610</v>
      </c>
      <c r="CC30" s="104">
        <v>5.5</v>
      </c>
      <c r="CD30" s="103" t="s">
        <v>483</v>
      </c>
      <c r="CE30" s="104">
        <v>4.5</v>
      </c>
      <c r="CF30" s="103"/>
      <c r="CG30" s="104"/>
      <c r="CH30" s="103"/>
      <c r="CI30" s="104"/>
      <c r="CJ30" s="103" t="s">
        <v>467</v>
      </c>
      <c r="CK30" s="104">
        <v>5</v>
      </c>
      <c r="CL30" s="7"/>
      <c r="CM30" s="103" t="s">
        <v>550</v>
      </c>
      <c r="CN30" s="104">
        <v>6.5</v>
      </c>
      <c r="CO30" s="103"/>
      <c r="CP30" s="104"/>
      <c r="CQ30" s="103" t="s">
        <v>562</v>
      </c>
      <c r="CR30" s="104">
        <v>4.5</v>
      </c>
      <c r="CS30" s="103"/>
      <c r="CT30" s="104"/>
      <c r="CU30" s="103" t="s">
        <v>633</v>
      </c>
      <c r="CV30" s="104">
        <v>3.5</v>
      </c>
      <c r="CW30" s="103" t="s">
        <v>692</v>
      </c>
      <c r="CX30" s="115">
        <v>5</v>
      </c>
      <c r="CY30" s="103" t="s">
        <v>626</v>
      </c>
      <c r="CZ30" s="9">
        <v>3</v>
      </c>
    </row>
    <row r="31" spans="33:104" ht="33" x14ac:dyDescent="0.2">
      <c r="AG31" s="7"/>
      <c r="AH31" s="1"/>
      <c r="AI31" s="1"/>
      <c r="AJ31" s="1"/>
      <c r="AK31" s="1"/>
      <c r="AL31" s="1"/>
      <c r="AM31" s="1"/>
      <c r="AN31" s="8"/>
      <c r="AQ31" s="10"/>
      <c r="AR31" s="10"/>
      <c r="AS31" s="10"/>
      <c r="AT31" s="18"/>
      <c r="AV31" s="7"/>
      <c r="AY31" s="7"/>
      <c r="AZ31" s="15"/>
      <c r="BC31" s="15"/>
      <c r="BD31" s="15"/>
      <c r="BE31" s="15"/>
      <c r="BF31" s="15"/>
      <c r="BG31" s="15"/>
      <c r="BH31" s="15"/>
      <c r="BJ31" s="138" t="s">
        <v>162</v>
      </c>
      <c r="BK31" s="19" t="s">
        <v>262</v>
      </c>
      <c r="BL31" t="s">
        <v>178</v>
      </c>
      <c r="BM31" t="s">
        <v>254</v>
      </c>
      <c r="BN31"/>
      <c r="BO31"/>
      <c r="BQ31" s="15"/>
      <c r="BT31" s="122" t="s">
        <v>216</v>
      </c>
      <c r="BU31" s="122" t="s">
        <v>86</v>
      </c>
      <c r="BV31" s="121" t="s">
        <v>217</v>
      </c>
      <c r="BW31" s="122">
        <v>1</v>
      </c>
      <c r="BX31" s="122">
        <v>1.5</v>
      </c>
      <c r="BZ31" s="103" t="s">
        <v>578</v>
      </c>
      <c r="CA31" s="104">
        <v>3.5</v>
      </c>
      <c r="CB31" s="103" t="s">
        <v>611</v>
      </c>
      <c r="CC31" s="104">
        <v>5.5</v>
      </c>
      <c r="CD31" s="103" t="s">
        <v>484</v>
      </c>
      <c r="CE31" s="104">
        <v>4.5</v>
      </c>
      <c r="CF31" s="103" t="s">
        <v>588</v>
      </c>
      <c r="CG31" s="104">
        <v>6.5</v>
      </c>
      <c r="CH31" s="103"/>
      <c r="CI31" s="104"/>
      <c r="CJ31" s="103" t="s">
        <v>468</v>
      </c>
      <c r="CK31" s="104">
        <v>5</v>
      </c>
      <c r="CL31" s="7"/>
      <c r="CM31" s="103" t="s">
        <v>551</v>
      </c>
      <c r="CN31" s="104">
        <v>6.5</v>
      </c>
      <c r="CO31" s="103"/>
      <c r="CP31" s="104"/>
      <c r="CQ31" s="103" t="s">
        <v>377</v>
      </c>
      <c r="CR31" s="104">
        <v>4.5</v>
      </c>
      <c r="CS31" s="103" t="s">
        <v>670</v>
      </c>
      <c r="CT31" s="104">
        <v>6.5</v>
      </c>
      <c r="CU31" s="103" t="s">
        <v>382</v>
      </c>
      <c r="CV31" s="104">
        <v>3.5</v>
      </c>
      <c r="CW31" s="103" t="s">
        <v>343</v>
      </c>
      <c r="CX31" s="104">
        <v>5</v>
      </c>
      <c r="CY31" s="103" t="s">
        <v>627</v>
      </c>
      <c r="CZ31" s="9">
        <v>3</v>
      </c>
    </row>
    <row r="32" spans="33:104" ht="22" x14ac:dyDescent="0.2">
      <c r="AG32" s="7"/>
      <c r="AH32" s="1"/>
      <c r="AI32" s="1"/>
      <c r="AJ32" s="1"/>
      <c r="AK32" s="1"/>
      <c r="AL32" s="1"/>
      <c r="AM32" s="1"/>
      <c r="AN32" s="8"/>
      <c r="AO32" s="8"/>
      <c r="AP32" s="8"/>
      <c r="AQ32" s="18"/>
      <c r="AR32" s="10"/>
      <c r="AS32" s="10"/>
      <c r="AT32" s="18"/>
      <c r="AV32" s="7"/>
      <c r="AY32" s="7"/>
      <c r="AZ32" s="15"/>
      <c r="BA32" s="1"/>
      <c r="BB32" s="1"/>
      <c r="BC32" s="15"/>
      <c r="BD32" s="15"/>
      <c r="BE32" s="15"/>
      <c r="BF32" s="15"/>
      <c r="BG32" s="15"/>
      <c r="BH32" s="15"/>
      <c r="BJ32" s="138" t="s">
        <v>276</v>
      </c>
      <c r="BK32" t="s">
        <v>152</v>
      </c>
      <c r="BL32" t="s">
        <v>178</v>
      </c>
      <c r="BM32" t="s">
        <v>254</v>
      </c>
      <c r="BN32"/>
      <c r="BO32"/>
      <c r="BQ32" s="15"/>
      <c r="BT32" s="122" t="s">
        <v>216</v>
      </c>
      <c r="BU32" s="122" t="s">
        <v>86</v>
      </c>
      <c r="BV32" s="123" t="s">
        <v>218</v>
      </c>
      <c r="BW32" s="122">
        <v>1</v>
      </c>
      <c r="BX32" s="122">
        <v>1.5</v>
      </c>
      <c r="BZ32" s="103"/>
      <c r="CA32" s="104"/>
      <c r="CB32" s="103" t="s">
        <v>612</v>
      </c>
      <c r="CC32" s="104">
        <v>5.5</v>
      </c>
      <c r="CD32" s="103" t="s">
        <v>567</v>
      </c>
      <c r="CE32" s="104">
        <v>4.5</v>
      </c>
      <c r="CF32" s="103" t="s">
        <v>589</v>
      </c>
      <c r="CG32" s="104">
        <v>6.5</v>
      </c>
      <c r="CH32" s="103"/>
      <c r="CI32" s="104"/>
      <c r="CJ32" s="134" t="s">
        <v>501</v>
      </c>
      <c r="CK32" s="104">
        <v>0</v>
      </c>
      <c r="CL32" s="7"/>
      <c r="CM32" s="103" t="s">
        <v>552</v>
      </c>
      <c r="CN32" s="104">
        <v>6.5</v>
      </c>
      <c r="CO32" s="103"/>
      <c r="CP32" s="104"/>
      <c r="CQ32" s="103" t="s">
        <v>386</v>
      </c>
      <c r="CR32" s="104">
        <v>4.5</v>
      </c>
      <c r="CS32" s="103" t="s">
        <v>671</v>
      </c>
      <c r="CT32" s="104">
        <v>6.5</v>
      </c>
      <c r="CU32" s="103" t="s">
        <v>634</v>
      </c>
      <c r="CV32" s="104">
        <v>3.5</v>
      </c>
      <c r="CW32" s="103" t="s">
        <v>693</v>
      </c>
      <c r="CX32" s="104">
        <v>5</v>
      </c>
      <c r="CY32" s="103" t="s">
        <v>628</v>
      </c>
      <c r="CZ32" s="9">
        <v>3</v>
      </c>
    </row>
    <row r="33" spans="33:104" ht="22" x14ac:dyDescent="0.2">
      <c r="AG33" s="7"/>
      <c r="AH33" s="1"/>
      <c r="AI33" s="1"/>
      <c r="AJ33" s="1"/>
      <c r="AK33" s="1"/>
      <c r="AL33" s="1"/>
      <c r="AM33" s="1"/>
      <c r="AN33" s="8"/>
      <c r="AO33" s="8"/>
      <c r="AP33" s="8"/>
      <c r="AQ33" s="18"/>
      <c r="AR33" s="10"/>
      <c r="AS33" s="10"/>
      <c r="AT33" s="18"/>
      <c r="AV33" s="7"/>
      <c r="AY33" s="7"/>
      <c r="AZ33" s="15"/>
      <c r="BC33" s="15"/>
      <c r="BD33" s="15"/>
      <c r="BE33" s="15"/>
      <c r="BF33" s="15"/>
      <c r="BG33" s="15"/>
      <c r="BH33" s="15"/>
      <c r="BJ33" s="131" t="s">
        <v>278</v>
      </c>
      <c r="BK33" t="s">
        <v>263</v>
      </c>
      <c r="BL33" t="s">
        <v>95</v>
      </c>
      <c r="BM33">
        <v>5.5</v>
      </c>
      <c r="BN33"/>
      <c r="BO33"/>
      <c r="BQ33" s="15"/>
      <c r="BT33" s="122" t="s">
        <v>216</v>
      </c>
      <c r="BU33" s="122" t="s">
        <v>86</v>
      </c>
      <c r="BV33" s="121" t="s">
        <v>219</v>
      </c>
      <c r="BW33" s="122">
        <v>1</v>
      </c>
      <c r="BX33" s="122">
        <v>1.5</v>
      </c>
      <c r="BZ33" s="103" t="s">
        <v>584</v>
      </c>
      <c r="CA33" s="104">
        <v>4.5</v>
      </c>
      <c r="CB33" s="103" t="s">
        <v>613</v>
      </c>
      <c r="CC33" s="104">
        <v>5.5</v>
      </c>
      <c r="CD33" s="103" t="s">
        <v>486</v>
      </c>
      <c r="CE33" s="104">
        <v>4.5</v>
      </c>
      <c r="CF33" s="103" t="s">
        <v>590</v>
      </c>
      <c r="CG33" s="9">
        <v>6.5</v>
      </c>
      <c r="CH33" s="103"/>
      <c r="CI33" s="104"/>
      <c r="CJ33" s="103" t="s">
        <v>469</v>
      </c>
      <c r="CK33" s="104">
        <v>5.5</v>
      </c>
      <c r="CL33" s="7"/>
      <c r="CM33" s="103" t="s">
        <v>339</v>
      </c>
      <c r="CN33" s="104">
        <v>6.5</v>
      </c>
      <c r="CO33" s="103"/>
      <c r="CP33" s="104"/>
      <c r="CQ33" s="103" t="s">
        <v>384</v>
      </c>
      <c r="CR33" s="104">
        <v>4.5</v>
      </c>
      <c r="CS33" s="103" t="s">
        <v>672</v>
      </c>
      <c r="CT33" s="104">
        <v>6.5</v>
      </c>
      <c r="CU33" s="103" t="s">
        <v>635</v>
      </c>
      <c r="CV33" s="104">
        <v>3.5</v>
      </c>
      <c r="CW33" s="103" t="s">
        <v>694</v>
      </c>
      <c r="CX33" s="104">
        <v>5</v>
      </c>
      <c r="CY33" s="103" t="s">
        <v>629</v>
      </c>
      <c r="CZ33" s="9">
        <v>3</v>
      </c>
    </row>
    <row r="34" spans="33:104" ht="33" x14ac:dyDescent="0.2">
      <c r="AG34" s="7"/>
      <c r="AH34" s="1"/>
      <c r="AI34" s="1"/>
      <c r="AJ34" s="1"/>
      <c r="AK34" s="1"/>
      <c r="AL34" s="1"/>
      <c r="AM34" s="1"/>
      <c r="AN34" s="10"/>
      <c r="AO34" s="1"/>
      <c r="AP34" s="1"/>
      <c r="AQ34" s="18"/>
      <c r="AR34" s="18"/>
      <c r="AS34" s="18"/>
      <c r="AT34" s="18"/>
      <c r="AV34" s="7"/>
      <c r="AY34" s="7"/>
      <c r="AZ34" s="15"/>
      <c r="BC34" s="15"/>
      <c r="BD34" s="15"/>
      <c r="BE34" s="15"/>
      <c r="BF34" s="15"/>
      <c r="BG34" s="15"/>
      <c r="BH34" s="15"/>
      <c r="BJ34" s="131" t="s">
        <v>163</v>
      </c>
      <c r="BK34" t="s">
        <v>264</v>
      </c>
      <c r="BL34" t="s">
        <v>95</v>
      </c>
      <c r="BM34" t="s">
        <v>254</v>
      </c>
      <c r="BN34"/>
      <c r="BO34"/>
      <c r="BQ34" s="15"/>
      <c r="BT34" s="122" t="s">
        <v>216</v>
      </c>
      <c r="BU34" s="122" t="s">
        <v>86</v>
      </c>
      <c r="BV34" s="121" t="s">
        <v>220</v>
      </c>
      <c r="BW34" s="122">
        <v>1</v>
      </c>
      <c r="BX34" s="122">
        <v>1.5</v>
      </c>
      <c r="BZ34" s="103" t="s">
        <v>322</v>
      </c>
      <c r="CA34" s="104">
        <v>4.5</v>
      </c>
      <c r="CB34" s="103" t="s">
        <v>614</v>
      </c>
      <c r="CC34" s="104">
        <v>5.5</v>
      </c>
      <c r="CD34" s="103" t="s">
        <v>391</v>
      </c>
      <c r="CE34" s="104">
        <v>4.5</v>
      </c>
      <c r="CF34" s="103"/>
      <c r="CG34" s="104"/>
      <c r="CH34" s="103"/>
      <c r="CI34" s="104"/>
      <c r="CJ34" s="103" t="s">
        <v>470</v>
      </c>
      <c r="CK34" s="104">
        <v>5.5</v>
      </c>
      <c r="CL34" s="7"/>
      <c r="CM34" s="103" t="s">
        <v>553</v>
      </c>
      <c r="CN34" s="104">
        <v>6.5</v>
      </c>
      <c r="CO34" s="103"/>
      <c r="CP34" s="104"/>
      <c r="CQ34" s="103" t="s">
        <v>389</v>
      </c>
      <c r="CR34" s="104">
        <v>4.5</v>
      </c>
      <c r="CS34" s="103" t="s">
        <v>673</v>
      </c>
      <c r="CT34" s="104">
        <v>6.5</v>
      </c>
      <c r="CU34" s="103" t="s">
        <v>636</v>
      </c>
      <c r="CV34" s="104">
        <v>3.5</v>
      </c>
      <c r="CW34" s="103" t="s">
        <v>695</v>
      </c>
      <c r="CX34" s="104">
        <v>5</v>
      </c>
      <c r="CY34" s="103" t="s">
        <v>630</v>
      </c>
      <c r="CZ34" s="9">
        <v>3</v>
      </c>
    </row>
    <row r="35" spans="33:104" ht="33" x14ac:dyDescent="0.2">
      <c r="AG35" s="7"/>
      <c r="AH35" s="1"/>
      <c r="AI35" s="1"/>
      <c r="AJ35" s="1"/>
      <c r="AK35" s="1"/>
      <c r="AL35" s="1"/>
      <c r="AM35" s="1"/>
      <c r="AN35" s="10"/>
      <c r="AO35" s="1"/>
      <c r="AP35" s="1"/>
      <c r="AQ35" s="18" t="s">
        <v>140</v>
      </c>
      <c r="AR35" s="18">
        <v>5</v>
      </c>
      <c r="AS35" s="18">
        <v>5</v>
      </c>
      <c r="AT35" s="18">
        <v>15</v>
      </c>
      <c r="AU35" s="9" t="s">
        <v>94</v>
      </c>
      <c r="AV35" s="7"/>
      <c r="AW35" s="10"/>
      <c r="AX35" s="10"/>
      <c r="AY35" s="7"/>
      <c r="AZ35" s="15"/>
      <c r="BC35" s="15"/>
      <c r="BD35" s="15"/>
      <c r="BE35" s="15"/>
      <c r="BF35" s="15"/>
      <c r="BG35" s="15"/>
      <c r="BH35" s="15"/>
      <c r="BJ35" s="131" t="s">
        <v>164</v>
      </c>
      <c r="BK35" t="s">
        <v>149</v>
      </c>
      <c r="BL35" t="s">
        <v>141</v>
      </c>
      <c r="BM35">
        <v>2.5</v>
      </c>
      <c r="BN35"/>
      <c r="BO35"/>
      <c r="BQ35" s="15"/>
      <c r="BT35" s="122" t="s">
        <v>221</v>
      </c>
      <c r="BU35" s="122" t="s">
        <v>96</v>
      </c>
      <c r="BV35" s="121" t="s">
        <v>222</v>
      </c>
      <c r="BW35" s="122">
        <v>2</v>
      </c>
      <c r="BX35" s="122">
        <v>2.5</v>
      </c>
      <c r="BZ35" s="103" t="s">
        <v>585</v>
      </c>
      <c r="CA35" s="104">
        <v>4.5</v>
      </c>
      <c r="CB35" s="103" t="s">
        <v>615</v>
      </c>
      <c r="CC35" s="104">
        <v>5.5</v>
      </c>
      <c r="CD35" s="103" t="s">
        <v>487</v>
      </c>
      <c r="CE35" s="104">
        <v>4.5</v>
      </c>
      <c r="CF35" s="103" t="s">
        <v>599</v>
      </c>
      <c r="CG35" s="104">
        <v>7.5</v>
      </c>
      <c r="CH35" s="103"/>
      <c r="CI35" s="104"/>
      <c r="CJ35" s="103" t="s">
        <v>316</v>
      </c>
      <c r="CK35" s="104">
        <v>5.5</v>
      </c>
      <c r="CL35" s="7"/>
      <c r="CM35" s="103" t="s">
        <v>554</v>
      </c>
      <c r="CN35" s="104">
        <v>6.5</v>
      </c>
      <c r="CO35" s="103"/>
      <c r="CP35" s="104"/>
      <c r="CQ35" s="103" t="s">
        <v>563</v>
      </c>
      <c r="CR35" s="104">
        <v>4.5</v>
      </c>
      <c r="CS35" s="103" t="s">
        <v>388</v>
      </c>
      <c r="CT35" s="104">
        <v>6.5</v>
      </c>
      <c r="CU35" s="103" t="s">
        <v>637</v>
      </c>
      <c r="CV35" s="104">
        <v>3.5</v>
      </c>
      <c r="CW35" s="103" t="s">
        <v>696</v>
      </c>
      <c r="CX35" s="104">
        <v>5</v>
      </c>
      <c r="CY35" s="103" t="s">
        <v>631</v>
      </c>
      <c r="CZ35" s="9">
        <v>3</v>
      </c>
    </row>
    <row r="36" spans="33:104" ht="33" x14ac:dyDescent="0.2">
      <c r="AG36" s="7"/>
      <c r="AH36" s="1"/>
      <c r="AI36" s="1"/>
      <c r="AJ36" s="1"/>
      <c r="AK36" s="1"/>
      <c r="AL36" s="1"/>
      <c r="AM36" s="1"/>
      <c r="AN36" s="10"/>
      <c r="AO36" s="1"/>
      <c r="AP36" s="1"/>
      <c r="AQ36" s="18" t="s">
        <v>140</v>
      </c>
      <c r="AR36" s="18">
        <v>5</v>
      </c>
      <c r="AS36" s="18">
        <v>5</v>
      </c>
      <c r="AT36" s="18">
        <v>15</v>
      </c>
      <c r="AU36" s="9" t="s">
        <v>94</v>
      </c>
      <c r="AV36" s="7"/>
      <c r="AY36" s="7"/>
      <c r="BC36" s="15"/>
      <c r="BD36" s="15"/>
      <c r="BE36" s="15"/>
      <c r="BF36" s="15"/>
      <c r="BG36" s="15"/>
      <c r="BH36" s="15"/>
      <c r="BJ36" s="131" t="s">
        <v>263</v>
      </c>
      <c r="BK36" t="s">
        <v>265</v>
      </c>
      <c r="BL36" t="s">
        <v>95</v>
      </c>
      <c r="BM36">
        <v>2.5</v>
      </c>
      <c r="BN36"/>
      <c r="BO36"/>
      <c r="BQ36" s="15"/>
      <c r="BT36" s="122" t="s">
        <v>221</v>
      </c>
      <c r="BU36" s="122" t="s">
        <v>86</v>
      </c>
      <c r="BV36" s="121" t="s">
        <v>415</v>
      </c>
      <c r="BW36" s="122">
        <v>1.9</v>
      </c>
      <c r="BX36" s="122">
        <v>2.4</v>
      </c>
      <c r="BZ36" s="103" t="s">
        <v>586</v>
      </c>
      <c r="CA36" s="104">
        <v>4.5</v>
      </c>
      <c r="CB36" s="103" t="s">
        <v>616</v>
      </c>
      <c r="CC36" s="104">
        <v>5.5</v>
      </c>
      <c r="CD36" s="103" t="s">
        <v>568</v>
      </c>
      <c r="CE36" s="104">
        <v>4.5</v>
      </c>
      <c r="CF36" s="103" t="s">
        <v>600</v>
      </c>
      <c r="CG36" s="104">
        <v>7.5</v>
      </c>
      <c r="CH36" s="103"/>
      <c r="CI36" s="104"/>
      <c r="CJ36" s="103" t="s">
        <v>319</v>
      </c>
      <c r="CK36" s="104">
        <v>5.5</v>
      </c>
      <c r="CL36" s="7"/>
      <c r="CM36" s="103" t="s">
        <v>555</v>
      </c>
      <c r="CN36" s="104">
        <v>6.5</v>
      </c>
      <c r="CO36" s="103"/>
      <c r="CP36" s="104"/>
      <c r="CQ36" s="103" t="s">
        <v>825</v>
      </c>
      <c r="CR36" s="104">
        <v>4.5</v>
      </c>
      <c r="CS36" s="103" t="s">
        <v>674</v>
      </c>
      <c r="CT36" s="104">
        <v>6.5</v>
      </c>
      <c r="CU36" s="103" t="s">
        <v>638</v>
      </c>
      <c r="CV36" s="104">
        <v>3.5</v>
      </c>
      <c r="CW36" s="103" t="s">
        <v>697</v>
      </c>
      <c r="CX36" s="104">
        <v>5</v>
      </c>
      <c r="CY36" s="103" t="s">
        <v>632</v>
      </c>
      <c r="CZ36" s="9">
        <v>3.5</v>
      </c>
    </row>
    <row r="37" spans="33:104" ht="22" x14ac:dyDescent="0.2">
      <c r="AG37" s="7"/>
      <c r="AH37" s="1"/>
      <c r="AI37" s="1"/>
      <c r="AJ37" s="1"/>
      <c r="AK37" s="1"/>
      <c r="AL37" s="1"/>
      <c r="AM37" s="1"/>
      <c r="AN37" s="10"/>
      <c r="AO37" s="1"/>
      <c r="AP37" s="1"/>
      <c r="AQ37" s="18" t="s">
        <v>140</v>
      </c>
      <c r="AR37" s="18">
        <v>5</v>
      </c>
      <c r="AS37" s="18">
        <v>5</v>
      </c>
      <c r="AT37" s="18">
        <v>15</v>
      </c>
      <c r="AU37" s="9" t="s">
        <v>94</v>
      </c>
      <c r="AV37" s="7"/>
      <c r="AY37" s="7"/>
      <c r="AZ37" s="15"/>
      <c r="BC37" s="15"/>
      <c r="BD37" s="15"/>
      <c r="BE37" s="15"/>
      <c r="BF37" s="15"/>
      <c r="BG37" s="15"/>
      <c r="BH37" s="15"/>
      <c r="BJ37" s="131" t="s">
        <v>166</v>
      </c>
      <c r="BK37" t="s">
        <v>164</v>
      </c>
      <c r="BL37" t="s">
        <v>141</v>
      </c>
      <c r="BM37">
        <v>4</v>
      </c>
      <c r="BN37"/>
      <c r="BO37"/>
      <c r="BQ37" s="15"/>
      <c r="BT37" s="122" t="s">
        <v>221</v>
      </c>
      <c r="BU37" s="122" t="s">
        <v>96</v>
      </c>
      <c r="BV37" s="121" t="s">
        <v>428</v>
      </c>
      <c r="BW37" s="122">
        <v>2</v>
      </c>
      <c r="BX37" s="122">
        <v>2.5</v>
      </c>
      <c r="BZ37" s="103" t="s">
        <v>323</v>
      </c>
      <c r="CA37" s="104">
        <v>4.5</v>
      </c>
      <c r="CB37" s="103"/>
      <c r="CC37" s="104"/>
      <c r="CD37" s="103" t="s">
        <v>489</v>
      </c>
      <c r="CE37" s="104">
        <v>4.5</v>
      </c>
      <c r="CF37" s="103" t="s">
        <v>601</v>
      </c>
      <c r="CG37" s="104">
        <v>7.5</v>
      </c>
      <c r="CH37" s="103"/>
      <c r="CI37" s="104"/>
      <c r="CJ37" s="103" t="s">
        <v>320</v>
      </c>
      <c r="CK37" s="104">
        <v>5.5</v>
      </c>
      <c r="CL37" s="7"/>
      <c r="CM37" s="103" t="s">
        <v>556</v>
      </c>
      <c r="CN37" s="104">
        <v>6.5</v>
      </c>
      <c r="CO37" s="103"/>
      <c r="CP37" s="104"/>
      <c r="CQ37" s="103" t="s">
        <v>564</v>
      </c>
      <c r="CR37" s="104">
        <v>4.5</v>
      </c>
      <c r="CS37" s="103"/>
      <c r="CT37" s="104"/>
      <c r="CU37" s="103" t="s">
        <v>639</v>
      </c>
      <c r="CV37" s="104">
        <v>3.5</v>
      </c>
      <c r="CW37" s="103" t="s">
        <v>698</v>
      </c>
      <c r="CX37" s="104">
        <v>5</v>
      </c>
      <c r="CY37" s="103" t="s">
        <v>633</v>
      </c>
      <c r="CZ37" s="9">
        <v>3.5</v>
      </c>
    </row>
    <row r="38" spans="33:104" ht="44" x14ac:dyDescent="0.2">
      <c r="AG38" s="7"/>
      <c r="AH38" s="1" t="str">
        <f>A1&amp;Choix_de_la_filière</f>
        <v>Choix_de_la_filièreChoix de la catégorie</v>
      </c>
      <c r="AI38" s="10" t="s">
        <v>91</v>
      </c>
      <c r="AJ38" s="10" t="s">
        <v>91</v>
      </c>
      <c r="AK38" s="10" t="s">
        <v>91</v>
      </c>
      <c r="AL38" s="10" t="s">
        <v>91</v>
      </c>
      <c r="AM38" s="10" t="s">
        <v>91</v>
      </c>
      <c r="AN38" s="10" t="s">
        <v>91</v>
      </c>
      <c r="AO38" s="10" t="s">
        <v>91</v>
      </c>
      <c r="AP38" s="10" t="s">
        <v>91</v>
      </c>
      <c r="AQ38" s="10" t="s">
        <v>91</v>
      </c>
      <c r="AR38" s="10"/>
      <c r="AS38" s="10"/>
      <c r="AT38" s="10"/>
      <c r="AU38" s="10"/>
      <c r="BC38" s="15"/>
      <c r="BD38" s="15"/>
      <c r="BE38" s="15"/>
      <c r="BF38" s="15"/>
      <c r="BG38" s="15"/>
      <c r="BH38" s="15"/>
      <c r="BJ38" s="138" t="s">
        <v>167</v>
      </c>
      <c r="BK38" t="s">
        <v>153</v>
      </c>
      <c r="BL38" t="s">
        <v>95</v>
      </c>
      <c r="BM38">
        <v>4.5</v>
      </c>
      <c r="BN38"/>
      <c r="BO38"/>
      <c r="BQ38" s="15"/>
      <c r="BT38" s="122" t="s">
        <v>221</v>
      </c>
      <c r="BU38" s="122" t="s">
        <v>86</v>
      </c>
      <c r="BV38" s="121" t="s">
        <v>432</v>
      </c>
      <c r="BW38" s="122">
        <v>1.9</v>
      </c>
      <c r="BX38" s="122">
        <v>2.4</v>
      </c>
      <c r="BZ38" s="103" t="s">
        <v>324</v>
      </c>
      <c r="CA38" s="104">
        <v>4.5</v>
      </c>
      <c r="CB38" s="103" t="s">
        <v>736</v>
      </c>
      <c r="CC38" s="104">
        <v>6.5</v>
      </c>
      <c r="CD38" s="103" t="s">
        <v>490</v>
      </c>
      <c r="CE38" s="104">
        <v>4.5</v>
      </c>
      <c r="CF38" s="103" t="s">
        <v>602</v>
      </c>
      <c r="CG38" s="104">
        <v>7.5</v>
      </c>
      <c r="CH38" s="103"/>
      <c r="CI38" s="104"/>
      <c r="CJ38" s="103" t="s">
        <v>471</v>
      </c>
      <c r="CK38" s="104">
        <v>5.5</v>
      </c>
      <c r="CL38" s="7"/>
      <c r="CM38" s="103"/>
      <c r="CN38" s="104"/>
      <c r="CO38" s="103"/>
      <c r="CP38" s="104"/>
      <c r="CQ38" s="103" t="s">
        <v>617</v>
      </c>
      <c r="CR38" s="104">
        <v>5</v>
      </c>
      <c r="CS38" s="103" t="s">
        <v>690</v>
      </c>
      <c r="CT38" s="104">
        <v>7.5</v>
      </c>
      <c r="CU38" s="103" t="s">
        <v>640</v>
      </c>
      <c r="CV38" s="104">
        <v>3.5</v>
      </c>
      <c r="CW38" s="103" t="s">
        <v>699</v>
      </c>
      <c r="CX38" s="104">
        <v>5</v>
      </c>
      <c r="CY38" s="103" t="s">
        <v>382</v>
      </c>
      <c r="CZ38" s="9">
        <v>3.5</v>
      </c>
    </row>
    <row r="39" spans="33:104" ht="22" x14ac:dyDescent="0.2">
      <c r="AZ39" s="15"/>
      <c r="BC39" s="15"/>
      <c r="BD39" s="15"/>
      <c r="BE39" s="15"/>
      <c r="BF39" s="15"/>
      <c r="BG39" s="15"/>
      <c r="BH39" s="15"/>
      <c r="BJ39" s="131" t="s">
        <v>168</v>
      </c>
      <c r="BK39" t="s">
        <v>171</v>
      </c>
      <c r="BL39" t="s">
        <v>141</v>
      </c>
      <c r="BM39">
        <v>4.5</v>
      </c>
      <c r="BN39"/>
      <c r="BO39"/>
      <c r="BQ39" s="15"/>
      <c r="BT39" s="122" t="s">
        <v>221</v>
      </c>
      <c r="BU39" s="122" t="s">
        <v>86</v>
      </c>
      <c r="BV39" s="121" t="s">
        <v>222</v>
      </c>
      <c r="BW39" s="122">
        <v>1.5</v>
      </c>
      <c r="BX39" s="122">
        <v>2</v>
      </c>
      <c r="BZ39" s="103" t="s">
        <v>587</v>
      </c>
      <c r="CA39" s="104">
        <v>4.5</v>
      </c>
      <c r="CB39" s="103" t="s">
        <v>737</v>
      </c>
      <c r="CC39" s="104">
        <v>6.5</v>
      </c>
      <c r="CD39" s="103" t="s">
        <v>491</v>
      </c>
      <c r="CE39" s="104">
        <v>4.5</v>
      </c>
      <c r="CF39" s="103" t="s">
        <v>603</v>
      </c>
      <c r="CG39" s="104">
        <v>7.5</v>
      </c>
      <c r="CH39" s="103"/>
      <c r="CI39" s="104"/>
      <c r="CJ39" s="134" t="s">
        <v>501</v>
      </c>
      <c r="CK39" s="104"/>
      <c r="CL39" s="7"/>
      <c r="CM39" s="103" t="s">
        <v>557</v>
      </c>
      <c r="CN39" s="104">
        <v>7</v>
      </c>
      <c r="CO39" s="103"/>
      <c r="CP39" s="104"/>
      <c r="CQ39" s="103" t="s">
        <v>618</v>
      </c>
      <c r="CR39" s="104">
        <v>5</v>
      </c>
      <c r="CS39" s="103" t="s">
        <v>691</v>
      </c>
      <c r="CT39" s="104">
        <v>7.5</v>
      </c>
      <c r="CU39" s="103" t="s">
        <v>641</v>
      </c>
      <c r="CV39" s="104">
        <v>3.5</v>
      </c>
      <c r="CW39" s="103" t="s">
        <v>700</v>
      </c>
      <c r="CX39" s="104">
        <v>5</v>
      </c>
      <c r="CY39" s="103" t="s">
        <v>634</v>
      </c>
      <c r="CZ39" s="9">
        <v>3.5</v>
      </c>
    </row>
    <row r="40" spans="33:104" ht="22" x14ac:dyDescent="0.2">
      <c r="AZ40" s="15"/>
      <c r="BC40" s="15"/>
      <c r="BD40" s="15"/>
      <c r="BE40" s="15"/>
      <c r="BF40" s="15"/>
      <c r="BG40" s="15"/>
      <c r="BH40" s="15"/>
      <c r="BJ40" s="131" t="s">
        <v>449</v>
      </c>
      <c r="BK40" t="s">
        <v>266</v>
      </c>
      <c r="BL40" t="s">
        <v>141</v>
      </c>
      <c r="BM40">
        <v>4.5</v>
      </c>
      <c r="BN40"/>
      <c r="BO40"/>
      <c r="BQ40" s="15"/>
      <c r="BT40" s="122" t="s">
        <v>221</v>
      </c>
      <c r="BU40" s="122" t="s">
        <v>86</v>
      </c>
      <c r="BV40" s="121" t="s">
        <v>434</v>
      </c>
      <c r="BW40" s="122">
        <v>1.9</v>
      </c>
      <c r="BX40" s="122">
        <v>2.4</v>
      </c>
      <c r="BZ40" s="103"/>
      <c r="CA40" s="104"/>
      <c r="CB40" s="103" t="s">
        <v>738</v>
      </c>
      <c r="CC40" s="104">
        <v>6.5</v>
      </c>
      <c r="CD40" s="103"/>
      <c r="CE40" s="104"/>
      <c r="CF40" s="103"/>
      <c r="CG40" s="104"/>
      <c r="CH40" s="103"/>
      <c r="CI40" s="104"/>
      <c r="CJ40" s="103" t="s">
        <v>472</v>
      </c>
      <c r="CK40" s="104">
        <v>6</v>
      </c>
      <c r="CL40" s="7"/>
      <c r="CM40" s="103" t="s">
        <v>558</v>
      </c>
      <c r="CN40" s="104">
        <v>7</v>
      </c>
      <c r="CO40" s="103"/>
      <c r="CP40" s="104"/>
      <c r="CQ40" s="103" t="s">
        <v>619</v>
      </c>
      <c r="CR40" s="104">
        <v>5</v>
      </c>
      <c r="CS40" s="103" t="s">
        <v>692</v>
      </c>
      <c r="CT40" s="104">
        <v>7.5</v>
      </c>
      <c r="CU40" s="103" t="s">
        <v>642</v>
      </c>
      <c r="CV40" s="104">
        <v>3.5</v>
      </c>
      <c r="CW40" s="103"/>
      <c r="CX40" s="104"/>
      <c r="CY40" s="103" t="s">
        <v>635</v>
      </c>
      <c r="CZ40" s="9">
        <v>3.5</v>
      </c>
    </row>
    <row r="41" spans="33:104" ht="22" x14ac:dyDescent="0.2">
      <c r="AZ41" s="15"/>
      <c r="BC41" s="15"/>
      <c r="BD41" s="15"/>
      <c r="BE41" s="15"/>
      <c r="BF41" s="15"/>
      <c r="BG41" s="15"/>
      <c r="BH41" s="15"/>
      <c r="BJ41" s="131" t="s">
        <v>245</v>
      </c>
      <c r="BK41" t="s">
        <v>172</v>
      </c>
      <c r="BL41" t="s">
        <v>141</v>
      </c>
      <c r="BM41">
        <v>4.5</v>
      </c>
      <c r="BN41"/>
      <c r="BO41"/>
      <c r="BQ41" s="15"/>
      <c r="BT41" s="122" t="s">
        <v>221</v>
      </c>
      <c r="BU41" s="122" t="s">
        <v>86</v>
      </c>
      <c r="BV41" s="121" t="s">
        <v>428</v>
      </c>
      <c r="BW41" s="122">
        <v>1.5</v>
      </c>
      <c r="BX41" s="122">
        <v>2</v>
      </c>
      <c r="BZ41" s="103" t="s">
        <v>591</v>
      </c>
      <c r="CA41" s="104">
        <v>5</v>
      </c>
      <c r="CB41" s="103" t="s">
        <v>739</v>
      </c>
      <c r="CC41" s="104">
        <v>6.5</v>
      </c>
      <c r="CD41" s="103" t="s">
        <v>492</v>
      </c>
      <c r="CE41" s="104">
        <v>5</v>
      </c>
      <c r="CF41" s="103" t="s">
        <v>609</v>
      </c>
      <c r="CG41" s="104">
        <v>8</v>
      </c>
      <c r="CH41" s="103"/>
      <c r="CI41" s="104"/>
      <c r="CJ41" s="103" t="s">
        <v>473</v>
      </c>
      <c r="CK41" s="104">
        <v>6</v>
      </c>
      <c r="CL41" s="7"/>
      <c r="CM41" s="103" t="s">
        <v>559</v>
      </c>
      <c r="CN41" s="104">
        <v>7</v>
      </c>
      <c r="CO41" s="103"/>
      <c r="CP41" s="104"/>
      <c r="CQ41" s="103" t="s">
        <v>620</v>
      </c>
      <c r="CR41" s="104">
        <v>5</v>
      </c>
      <c r="CS41" s="103" t="s">
        <v>343</v>
      </c>
      <c r="CT41" s="104">
        <v>7.5</v>
      </c>
      <c r="CU41" s="103" t="s">
        <v>643</v>
      </c>
      <c r="CV41" s="104">
        <v>3.5</v>
      </c>
      <c r="CW41" s="135" t="s">
        <v>715</v>
      </c>
      <c r="CX41" s="104">
        <v>5.5</v>
      </c>
      <c r="CY41" s="103" t="s">
        <v>636</v>
      </c>
      <c r="CZ41" s="9">
        <v>3.5</v>
      </c>
    </row>
    <row r="42" spans="33:104" ht="33" x14ac:dyDescent="0.2">
      <c r="AZ42" s="15"/>
      <c r="BC42" s="15"/>
      <c r="BD42" s="15"/>
      <c r="BE42" s="15"/>
      <c r="BF42" s="15"/>
      <c r="BG42" s="15"/>
      <c r="BH42" s="15"/>
      <c r="BJ42" s="131" t="s">
        <v>169</v>
      </c>
      <c r="BK42" t="s">
        <v>170</v>
      </c>
      <c r="BL42" t="s">
        <v>141</v>
      </c>
      <c r="BM42">
        <v>4.5</v>
      </c>
      <c r="BN42"/>
      <c r="BO42"/>
      <c r="BQ42" s="15"/>
      <c r="BT42" s="122" t="s">
        <v>221</v>
      </c>
      <c r="BU42" s="122" t="s">
        <v>86</v>
      </c>
      <c r="BV42" s="121" t="s">
        <v>230</v>
      </c>
      <c r="BW42" s="122">
        <v>1.9</v>
      </c>
      <c r="BX42" s="122">
        <v>2.4</v>
      </c>
      <c r="BZ42" s="103" t="s">
        <v>321</v>
      </c>
      <c r="CA42" s="104">
        <v>5</v>
      </c>
      <c r="CB42" s="103" t="s">
        <v>393</v>
      </c>
      <c r="CC42" s="104">
        <v>6.5</v>
      </c>
      <c r="CD42" s="103" t="s">
        <v>493</v>
      </c>
      <c r="CE42" s="104">
        <v>5</v>
      </c>
      <c r="CF42" s="103" t="s">
        <v>610</v>
      </c>
      <c r="CG42" s="104">
        <v>8</v>
      </c>
      <c r="CH42" s="103"/>
      <c r="CI42" s="104"/>
      <c r="CJ42" s="103" t="s">
        <v>303</v>
      </c>
      <c r="CK42" s="104">
        <v>6</v>
      </c>
      <c r="CL42" s="7"/>
      <c r="CM42" s="103" t="s">
        <v>340</v>
      </c>
      <c r="CN42" s="104">
        <v>7</v>
      </c>
      <c r="CO42" s="103"/>
      <c r="CP42" s="104"/>
      <c r="CQ42" s="103" t="s">
        <v>621</v>
      </c>
      <c r="CR42" s="104">
        <v>5</v>
      </c>
      <c r="CS42" s="103" t="s">
        <v>693</v>
      </c>
      <c r="CT42" s="104">
        <v>7.5</v>
      </c>
      <c r="CU42" s="103" t="s">
        <v>644</v>
      </c>
      <c r="CV42" s="104">
        <v>3.5</v>
      </c>
      <c r="CW42" s="135" t="s">
        <v>716</v>
      </c>
      <c r="CX42" s="104">
        <v>5.5</v>
      </c>
      <c r="CY42" s="103" t="s">
        <v>637</v>
      </c>
      <c r="CZ42" s="9">
        <v>3.5</v>
      </c>
    </row>
    <row r="43" spans="33:104" ht="33" x14ac:dyDescent="0.2">
      <c r="AZ43" s="15"/>
      <c r="BC43" s="15"/>
      <c r="BD43" s="15"/>
      <c r="BE43" s="15"/>
      <c r="BF43" s="15"/>
      <c r="BG43" s="15"/>
      <c r="BH43" s="15"/>
      <c r="BJ43" s="131" t="s">
        <v>250</v>
      </c>
      <c r="BK43" t="s">
        <v>267</v>
      </c>
      <c r="BL43" t="s">
        <v>141</v>
      </c>
      <c r="BM43">
        <v>4.5</v>
      </c>
      <c r="BN43"/>
      <c r="BO43"/>
      <c r="BQ43" s="15"/>
      <c r="BT43" s="122" t="s">
        <v>223</v>
      </c>
      <c r="BU43" s="122" t="s">
        <v>86</v>
      </c>
      <c r="BV43" s="121" t="s">
        <v>224</v>
      </c>
      <c r="BW43" s="122">
        <v>1.7</v>
      </c>
      <c r="BX43" s="122">
        <v>2.2000000000000002</v>
      </c>
      <c r="BZ43" s="103" t="s">
        <v>592</v>
      </c>
      <c r="CA43" s="104">
        <v>5</v>
      </c>
      <c r="CB43" s="103" t="s">
        <v>740</v>
      </c>
      <c r="CC43" s="104">
        <v>6.5</v>
      </c>
      <c r="CD43" s="103" t="s">
        <v>309</v>
      </c>
      <c r="CE43" s="104">
        <v>5</v>
      </c>
      <c r="CF43" s="103" t="s">
        <v>611</v>
      </c>
      <c r="CG43" s="104">
        <v>8</v>
      </c>
      <c r="CH43" s="103"/>
      <c r="CI43" s="104"/>
      <c r="CJ43" s="103" t="s">
        <v>474</v>
      </c>
      <c r="CK43" s="104">
        <v>6</v>
      </c>
      <c r="CL43" s="7"/>
      <c r="CM43" s="103" t="s">
        <v>560</v>
      </c>
      <c r="CN43" s="104">
        <v>7</v>
      </c>
      <c r="CO43" s="103"/>
      <c r="CP43" s="104"/>
      <c r="CQ43" s="103" t="s">
        <v>622</v>
      </c>
      <c r="CR43" s="104">
        <v>5</v>
      </c>
      <c r="CS43" s="103" t="s">
        <v>694</v>
      </c>
      <c r="CT43" s="104">
        <v>7.5</v>
      </c>
      <c r="CU43" s="103" t="s">
        <v>645</v>
      </c>
      <c r="CV43" s="104">
        <v>3.5</v>
      </c>
      <c r="CW43" s="135" t="s">
        <v>717</v>
      </c>
      <c r="CX43" s="104">
        <v>5.5</v>
      </c>
      <c r="CY43" s="103" t="s">
        <v>638</v>
      </c>
      <c r="CZ43" s="9">
        <v>3.5</v>
      </c>
    </row>
    <row r="44" spans="33:104" ht="33" x14ac:dyDescent="0.2">
      <c r="BC44" s="15"/>
      <c r="BD44" s="15"/>
      <c r="BE44" s="15"/>
      <c r="BF44" s="15"/>
      <c r="BG44" s="15"/>
      <c r="BH44" s="15"/>
      <c r="BJ44" s="131" t="s">
        <v>170</v>
      </c>
      <c r="BK44" t="s">
        <v>150</v>
      </c>
      <c r="BL44" t="s">
        <v>141</v>
      </c>
      <c r="BM44">
        <v>4.5</v>
      </c>
      <c r="BN44"/>
      <c r="BO44"/>
      <c r="BQ44" s="15"/>
      <c r="BT44" s="122" t="s">
        <v>223</v>
      </c>
      <c r="BU44" s="122" t="s">
        <v>86</v>
      </c>
      <c r="BV44" s="121" t="s">
        <v>225</v>
      </c>
      <c r="BW44" s="122">
        <v>1.7</v>
      </c>
      <c r="BX44" s="122">
        <v>2.2000000000000002</v>
      </c>
      <c r="BZ44" s="103" t="s">
        <v>593</v>
      </c>
      <c r="CA44" s="104">
        <v>5</v>
      </c>
      <c r="CB44" s="103"/>
      <c r="CC44" s="104"/>
      <c r="CD44" s="103" t="s">
        <v>570</v>
      </c>
      <c r="CE44" s="104">
        <v>5</v>
      </c>
      <c r="CF44" s="103" t="s">
        <v>612</v>
      </c>
      <c r="CG44" s="104">
        <v>8</v>
      </c>
      <c r="CH44" s="103"/>
      <c r="CI44" s="104"/>
      <c r="CJ44" s="103" t="s">
        <v>475</v>
      </c>
      <c r="CK44" s="115">
        <v>6</v>
      </c>
      <c r="CL44" s="7"/>
      <c r="CM44" s="103" t="s">
        <v>561</v>
      </c>
      <c r="CN44" s="104">
        <v>7</v>
      </c>
      <c r="CO44" s="103"/>
      <c r="CP44" s="104"/>
      <c r="CQ44" s="103" t="s">
        <v>623</v>
      </c>
      <c r="CR44" s="104">
        <v>5</v>
      </c>
      <c r="CS44" s="103" t="s">
        <v>695</v>
      </c>
      <c r="CT44" s="104">
        <v>7.5</v>
      </c>
      <c r="CU44" s="103"/>
      <c r="CV44" s="104"/>
      <c r="CW44" s="135" t="s">
        <v>718</v>
      </c>
      <c r="CX44" s="104">
        <v>5.5</v>
      </c>
      <c r="CY44" s="103" t="s">
        <v>639</v>
      </c>
      <c r="CZ44" s="9">
        <v>3.5</v>
      </c>
    </row>
    <row r="45" spans="33:104" ht="33" x14ac:dyDescent="0.2">
      <c r="BC45" s="15"/>
      <c r="BD45" s="15"/>
      <c r="BE45" s="15"/>
      <c r="BF45" s="15"/>
      <c r="BG45" s="15"/>
      <c r="BH45" s="15"/>
      <c r="BJ45" s="131" t="s">
        <v>171</v>
      </c>
      <c r="BK45" t="s">
        <v>268</v>
      </c>
      <c r="BL45" t="s">
        <v>95</v>
      </c>
      <c r="BM45">
        <v>5.5</v>
      </c>
      <c r="BN45"/>
      <c r="BO45"/>
      <c r="BQ45" s="15"/>
      <c r="BT45" s="122" t="s">
        <v>223</v>
      </c>
      <c r="BU45" s="122" t="s">
        <v>86</v>
      </c>
      <c r="BV45" s="123" t="s">
        <v>226</v>
      </c>
      <c r="BW45" s="122">
        <v>1.7</v>
      </c>
      <c r="BX45" s="122">
        <v>2.2000000000000002</v>
      </c>
      <c r="BZ45" s="103" t="s">
        <v>594</v>
      </c>
      <c r="CA45" s="104">
        <v>5</v>
      </c>
      <c r="CB45" s="103" t="s">
        <v>752</v>
      </c>
      <c r="CC45" s="104">
        <v>7</v>
      </c>
      <c r="CD45" s="103" t="s">
        <v>495</v>
      </c>
      <c r="CE45" s="104">
        <v>5</v>
      </c>
      <c r="CF45" s="103" t="s">
        <v>613</v>
      </c>
      <c r="CG45" s="104">
        <v>8</v>
      </c>
      <c r="CH45" s="103"/>
      <c r="CI45" s="104"/>
      <c r="CJ45" s="103" t="s">
        <v>476</v>
      </c>
      <c r="CK45" s="104">
        <v>6</v>
      </c>
      <c r="CL45" s="7"/>
      <c r="CM45" s="103" t="s">
        <v>562</v>
      </c>
      <c r="CN45" s="104">
        <v>7</v>
      </c>
      <c r="CO45" s="103"/>
      <c r="CP45" s="104"/>
      <c r="CQ45" s="103" t="s">
        <v>624</v>
      </c>
      <c r="CR45" s="104">
        <v>5</v>
      </c>
      <c r="CS45" s="103" t="s">
        <v>696</v>
      </c>
      <c r="CT45" s="104">
        <v>7.5</v>
      </c>
      <c r="CU45" s="103" t="s">
        <v>653</v>
      </c>
      <c r="CV45" s="104">
        <v>4.5</v>
      </c>
      <c r="CW45" s="135" t="s">
        <v>719</v>
      </c>
      <c r="CX45" s="104">
        <v>5.5</v>
      </c>
      <c r="CY45" s="103" t="s">
        <v>640</v>
      </c>
      <c r="CZ45" s="9">
        <v>3.5</v>
      </c>
    </row>
    <row r="46" spans="33:104" ht="33" x14ac:dyDescent="0.2">
      <c r="BC46" s="15"/>
      <c r="BD46" s="15"/>
      <c r="BE46" s="15"/>
      <c r="BF46" s="15"/>
      <c r="BG46" s="15"/>
      <c r="BH46" s="15"/>
      <c r="BJ46" s="138" t="s">
        <v>172</v>
      </c>
      <c r="BK46" t="s">
        <v>269</v>
      </c>
      <c r="BL46" t="s">
        <v>95</v>
      </c>
      <c r="BM46" t="s">
        <v>254</v>
      </c>
      <c r="BN46"/>
      <c r="BO46"/>
      <c r="BQ46" s="15"/>
      <c r="BT46" s="122" t="s">
        <v>223</v>
      </c>
      <c r="BU46" s="122" t="s">
        <v>86</v>
      </c>
      <c r="BV46" s="123" t="s">
        <v>227</v>
      </c>
      <c r="BW46" s="122">
        <v>1.7</v>
      </c>
      <c r="BX46" s="122">
        <v>2.2000000000000002</v>
      </c>
      <c r="BZ46" s="103" t="s">
        <v>595</v>
      </c>
      <c r="CA46" s="104">
        <v>5</v>
      </c>
      <c r="CB46" s="103" t="s">
        <v>753</v>
      </c>
      <c r="CC46" s="104">
        <v>7</v>
      </c>
      <c r="CD46" s="103" t="s">
        <v>496</v>
      </c>
      <c r="CE46" s="104">
        <v>5</v>
      </c>
      <c r="CF46" s="103" t="s">
        <v>614</v>
      </c>
      <c r="CG46" s="104">
        <v>8</v>
      </c>
      <c r="CH46" s="103"/>
      <c r="CI46" s="104"/>
      <c r="CJ46" s="103" t="s">
        <v>477</v>
      </c>
      <c r="CK46" s="104">
        <v>6</v>
      </c>
      <c r="CL46" s="7"/>
      <c r="CM46" s="103" t="s">
        <v>377</v>
      </c>
      <c r="CN46" s="104">
        <v>7</v>
      </c>
      <c r="CO46" s="103"/>
      <c r="CP46" s="104"/>
      <c r="CQ46" s="103" t="s">
        <v>625</v>
      </c>
      <c r="CR46" s="104">
        <v>5</v>
      </c>
      <c r="CS46" s="103" t="s">
        <v>697</v>
      </c>
      <c r="CT46" s="104">
        <v>7.5</v>
      </c>
      <c r="CU46" s="103" t="s">
        <v>654</v>
      </c>
      <c r="CV46" s="104">
        <v>4.5</v>
      </c>
      <c r="CW46" s="135" t="s">
        <v>720</v>
      </c>
      <c r="CX46" s="104">
        <v>5.5</v>
      </c>
      <c r="CY46" s="103" t="s">
        <v>641</v>
      </c>
      <c r="CZ46" s="9">
        <v>3.5</v>
      </c>
    </row>
    <row r="47" spans="33:104" ht="33" x14ac:dyDescent="0.2">
      <c r="BC47" s="15"/>
      <c r="BD47" s="15"/>
      <c r="BE47" s="15"/>
      <c r="BF47" s="15"/>
      <c r="BG47" s="15"/>
      <c r="BH47" s="15"/>
      <c r="BJ47" s="131" t="s">
        <v>266</v>
      </c>
      <c r="BK47" t="s">
        <v>270</v>
      </c>
      <c r="BL47" t="s">
        <v>158</v>
      </c>
      <c r="BM47" t="s">
        <v>254</v>
      </c>
      <c r="BN47"/>
      <c r="BO47"/>
      <c r="BQ47" s="15"/>
      <c r="BT47" s="122" t="s">
        <v>228</v>
      </c>
      <c r="BU47" s="122" t="s">
        <v>86</v>
      </c>
      <c r="BV47" s="127" t="s">
        <v>433</v>
      </c>
      <c r="BW47" s="122">
        <v>1.9</v>
      </c>
      <c r="BX47" s="122">
        <v>2.4</v>
      </c>
      <c r="BZ47" s="103" t="s">
        <v>596</v>
      </c>
      <c r="CA47" s="104">
        <v>5</v>
      </c>
      <c r="CB47" s="103" t="s">
        <v>754</v>
      </c>
      <c r="CC47" s="104">
        <v>7</v>
      </c>
      <c r="CD47" s="103" t="s">
        <v>571</v>
      </c>
      <c r="CE47" s="104">
        <v>5</v>
      </c>
      <c r="CF47" s="103" t="s">
        <v>615</v>
      </c>
      <c r="CG47" s="104">
        <v>8</v>
      </c>
      <c r="CH47" s="103"/>
      <c r="CI47" s="104"/>
      <c r="CJ47" s="103" t="s">
        <v>478</v>
      </c>
      <c r="CK47" s="104">
        <v>6</v>
      </c>
      <c r="CL47" s="7"/>
      <c r="CM47" s="103" t="s">
        <v>386</v>
      </c>
      <c r="CN47" s="104">
        <v>7</v>
      </c>
      <c r="CO47" s="103"/>
      <c r="CP47" s="104"/>
      <c r="CQ47" s="103" t="s">
        <v>626</v>
      </c>
      <c r="CR47" s="104">
        <v>5</v>
      </c>
      <c r="CS47" s="103" t="s">
        <v>698</v>
      </c>
      <c r="CT47" s="104">
        <v>7.5</v>
      </c>
      <c r="CU47" s="103" t="s">
        <v>655</v>
      </c>
      <c r="CV47" s="104">
        <v>4.5</v>
      </c>
      <c r="CW47" s="135" t="s">
        <v>721</v>
      </c>
      <c r="CX47" s="104">
        <v>5.5</v>
      </c>
      <c r="CY47" s="103" t="s">
        <v>642</v>
      </c>
      <c r="CZ47" s="9">
        <v>3.5</v>
      </c>
    </row>
    <row r="48" spans="33:104" ht="44" x14ac:dyDescent="0.2">
      <c r="BC48" s="15"/>
      <c r="BD48" s="15"/>
      <c r="BE48" s="15"/>
      <c r="BF48" s="15"/>
      <c r="BG48" s="15"/>
      <c r="BH48" s="15"/>
      <c r="BJ48" s="131" t="s">
        <v>173</v>
      </c>
      <c r="BK48" t="s">
        <v>271</v>
      </c>
      <c r="BL48" t="s">
        <v>141</v>
      </c>
      <c r="BM48" t="s">
        <v>254</v>
      </c>
      <c r="BN48"/>
      <c r="BO48"/>
      <c r="BQ48" s="15"/>
      <c r="BT48" s="122" t="s">
        <v>228</v>
      </c>
      <c r="BU48" s="122" t="s">
        <v>86</v>
      </c>
      <c r="BV48" s="123" t="s">
        <v>435</v>
      </c>
      <c r="BW48" s="122">
        <v>1.9</v>
      </c>
      <c r="BX48" s="122">
        <v>2.4</v>
      </c>
      <c r="BZ48" s="103" t="s">
        <v>597</v>
      </c>
      <c r="CA48" s="104">
        <v>5</v>
      </c>
      <c r="CB48" s="103" t="s">
        <v>755</v>
      </c>
      <c r="CC48" s="104">
        <v>7</v>
      </c>
      <c r="CD48" s="103" t="s">
        <v>498</v>
      </c>
      <c r="CE48" s="104">
        <v>5</v>
      </c>
      <c r="CF48" s="103" t="s">
        <v>616</v>
      </c>
      <c r="CG48" s="104">
        <v>8</v>
      </c>
      <c r="CH48" s="103"/>
      <c r="CI48" s="104"/>
      <c r="CJ48" s="103" t="s">
        <v>479</v>
      </c>
      <c r="CK48" s="104">
        <v>6</v>
      </c>
      <c r="CL48" s="7"/>
      <c r="CM48" s="103" t="s">
        <v>384</v>
      </c>
      <c r="CN48" s="104">
        <v>7</v>
      </c>
      <c r="CO48" s="103"/>
      <c r="CP48" s="104"/>
      <c r="CQ48" s="103" t="s">
        <v>627</v>
      </c>
      <c r="CR48" s="104">
        <v>5</v>
      </c>
      <c r="CS48" s="103" t="s">
        <v>699</v>
      </c>
      <c r="CT48" s="104">
        <v>7.5</v>
      </c>
      <c r="CU48" s="103" t="s">
        <v>656</v>
      </c>
      <c r="CV48" s="104">
        <v>4.5</v>
      </c>
      <c r="CW48" s="135" t="s">
        <v>722</v>
      </c>
      <c r="CX48" s="104">
        <v>5.5</v>
      </c>
      <c r="CY48" s="103" t="s">
        <v>643</v>
      </c>
      <c r="CZ48" s="9">
        <v>3.5</v>
      </c>
    </row>
    <row r="49" spans="52:104" ht="33" x14ac:dyDescent="0.2">
      <c r="BC49" s="15"/>
      <c r="BD49" s="15"/>
      <c r="BE49" s="15"/>
      <c r="BF49" s="15"/>
      <c r="BG49" s="15"/>
      <c r="BH49" s="15"/>
      <c r="BJ49" s="131" t="s">
        <v>1099</v>
      </c>
      <c r="BK49" t="s">
        <v>272</v>
      </c>
      <c r="BL49" t="s">
        <v>141</v>
      </c>
      <c r="BM49" t="s">
        <v>254</v>
      </c>
      <c r="BN49"/>
      <c r="BO49"/>
      <c r="BQ49" s="15"/>
      <c r="BT49" s="122" t="s">
        <v>228</v>
      </c>
      <c r="BU49" s="122" t="s">
        <v>86</v>
      </c>
      <c r="BV49" s="123" t="s">
        <v>229</v>
      </c>
      <c r="BW49" s="122">
        <v>1.9</v>
      </c>
      <c r="BX49" s="122">
        <v>2.4</v>
      </c>
      <c r="BZ49" s="103" t="s">
        <v>598</v>
      </c>
      <c r="CA49" s="104">
        <v>5</v>
      </c>
      <c r="CB49" s="103" t="s">
        <v>395</v>
      </c>
      <c r="CC49" s="104">
        <v>7</v>
      </c>
      <c r="CD49" s="103" t="s">
        <v>572</v>
      </c>
      <c r="CE49" s="104">
        <v>5</v>
      </c>
      <c r="CF49" s="103"/>
      <c r="CG49" s="104"/>
      <c r="CH49" s="103"/>
      <c r="CI49" s="104"/>
      <c r="CJ49" s="103" t="s">
        <v>480</v>
      </c>
      <c r="CK49" s="104">
        <v>6</v>
      </c>
      <c r="CL49" s="7"/>
      <c r="CM49" s="103" t="s">
        <v>389</v>
      </c>
      <c r="CN49" s="104">
        <v>7</v>
      </c>
      <c r="CO49" s="103"/>
      <c r="CP49" s="104"/>
      <c r="CQ49" s="103"/>
      <c r="CR49" s="104"/>
      <c r="CS49" s="103" t="s">
        <v>700</v>
      </c>
      <c r="CT49" s="104">
        <v>7.5</v>
      </c>
      <c r="CU49" s="103" t="s">
        <v>657</v>
      </c>
      <c r="CV49" s="104">
        <v>4.5</v>
      </c>
      <c r="CW49" s="135" t="s">
        <v>723</v>
      </c>
      <c r="CX49" s="104">
        <v>5.5</v>
      </c>
      <c r="CY49" s="103" t="s">
        <v>644</v>
      </c>
      <c r="CZ49" s="9">
        <v>3.5</v>
      </c>
    </row>
    <row r="50" spans="52:104" ht="22" x14ac:dyDescent="0.2">
      <c r="BC50" s="15"/>
      <c r="BD50" s="15"/>
      <c r="BE50" s="15"/>
      <c r="BF50" s="15"/>
      <c r="BG50" s="15"/>
      <c r="BH50" s="15"/>
      <c r="BJ50" s="131" t="s">
        <v>174</v>
      </c>
      <c r="BK50" t="s">
        <v>410</v>
      </c>
      <c r="BL50" t="s">
        <v>141</v>
      </c>
      <c r="BM50" t="s">
        <v>254</v>
      </c>
      <c r="BN50"/>
      <c r="BO50"/>
      <c r="BQ50" s="15"/>
      <c r="BT50" s="122" t="s">
        <v>228</v>
      </c>
      <c r="BU50" s="122" t="s">
        <v>86</v>
      </c>
      <c r="BV50" s="126" t="s">
        <v>231</v>
      </c>
      <c r="BW50" s="122">
        <v>1.9</v>
      </c>
      <c r="BX50" s="122">
        <v>2.4</v>
      </c>
      <c r="BZ50" s="103"/>
      <c r="CA50" s="104"/>
      <c r="CB50" s="103" t="s">
        <v>756</v>
      </c>
      <c r="CC50" s="104">
        <v>7</v>
      </c>
      <c r="CD50" s="103" t="s">
        <v>499</v>
      </c>
      <c r="CE50" s="104">
        <v>5</v>
      </c>
      <c r="CF50" s="103"/>
      <c r="CG50" s="104"/>
      <c r="CH50" s="103"/>
      <c r="CI50" s="104"/>
      <c r="CJ50" s="103" t="s">
        <v>481</v>
      </c>
      <c r="CK50" s="104">
        <v>6</v>
      </c>
      <c r="CL50" s="7"/>
      <c r="CM50" s="103" t="s">
        <v>563</v>
      </c>
      <c r="CN50" s="104">
        <v>7</v>
      </c>
      <c r="CO50" s="103"/>
      <c r="CP50" s="104"/>
      <c r="CQ50" s="103" t="s">
        <v>632</v>
      </c>
      <c r="CR50" s="104">
        <v>6</v>
      </c>
      <c r="CS50" s="103"/>
      <c r="CT50" s="104"/>
      <c r="CU50" s="103" t="s">
        <v>658</v>
      </c>
      <c r="CV50" s="104">
        <v>4.5</v>
      </c>
      <c r="CW50" s="135" t="s">
        <v>724</v>
      </c>
      <c r="CX50" s="104">
        <v>5.5</v>
      </c>
      <c r="CY50" s="103" t="s">
        <v>645</v>
      </c>
      <c r="CZ50" s="9">
        <v>3.5</v>
      </c>
    </row>
    <row r="51" spans="52:104" ht="33" x14ac:dyDescent="0.2">
      <c r="BC51" s="15"/>
      <c r="BD51" s="15"/>
      <c r="BE51" s="15"/>
      <c r="BF51" s="15"/>
      <c r="BG51" s="15"/>
      <c r="BH51" s="15"/>
      <c r="BJ51" s="131" t="s">
        <v>280</v>
      </c>
      <c r="BK51" t="s">
        <v>450</v>
      </c>
      <c r="BL51" t="s">
        <v>158</v>
      </c>
      <c r="BM51" t="s">
        <v>254</v>
      </c>
      <c r="BN51"/>
      <c r="BO51"/>
      <c r="BQ51" s="15"/>
      <c r="BT51" s="122" t="s">
        <v>232</v>
      </c>
      <c r="BU51" s="122" t="s">
        <v>86</v>
      </c>
      <c r="BV51" s="123" t="s">
        <v>436</v>
      </c>
      <c r="BW51" s="122">
        <v>1.9</v>
      </c>
      <c r="BX51" s="122">
        <v>2.4</v>
      </c>
      <c r="BZ51" s="103" t="s">
        <v>604</v>
      </c>
      <c r="CA51" s="104">
        <v>5.5</v>
      </c>
      <c r="CB51" s="103" t="s">
        <v>757</v>
      </c>
      <c r="CC51" s="104">
        <v>7</v>
      </c>
      <c r="CD51" s="103" t="s">
        <v>500</v>
      </c>
      <c r="CE51" s="104">
        <v>5</v>
      </c>
      <c r="CF51" s="103"/>
      <c r="CG51" s="104"/>
      <c r="CH51" s="103"/>
      <c r="CI51" s="104"/>
      <c r="CJ51" s="134" t="s">
        <v>501</v>
      </c>
      <c r="CK51" s="104">
        <v>0</v>
      </c>
      <c r="CL51" s="7"/>
      <c r="CM51" s="103" t="s">
        <v>825</v>
      </c>
      <c r="CN51" s="104">
        <v>7</v>
      </c>
      <c r="CO51" s="103"/>
      <c r="CP51" s="104"/>
      <c r="CQ51" s="103" t="s">
        <v>633</v>
      </c>
      <c r="CR51" s="104">
        <v>6</v>
      </c>
      <c r="CS51" s="103" t="s">
        <v>715</v>
      </c>
      <c r="CT51" s="104">
        <v>8</v>
      </c>
      <c r="CU51" s="103" t="s">
        <v>659</v>
      </c>
      <c r="CV51" s="104">
        <v>4.5</v>
      </c>
      <c r="CW51" s="135" t="s">
        <v>725</v>
      </c>
      <c r="CX51" s="104">
        <v>5.5</v>
      </c>
      <c r="CY51" s="103" t="s">
        <v>646</v>
      </c>
      <c r="CZ51" s="9">
        <v>3.5</v>
      </c>
    </row>
    <row r="52" spans="52:104" ht="33" x14ac:dyDescent="0.2">
      <c r="BC52" s="15"/>
      <c r="BD52" s="15"/>
      <c r="BE52" s="15"/>
      <c r="BF52" s="15"/>
      <c r="BG52" s="15"/>
      <c r="BH52" s="15"/>
      <c r="BJ52" s="131" t="s">
        <v>165</v>
      </c>
      <c r="BK52" t="s">
        <v>273</v>
      </c>
      <c r="BL52" t="s">
        <v>158</v>
      </c>
      <c r="BM52" t="s">
        <v>254</v>
      </c>
      <c r="BN52"/>
      <c r="BO52"/>
      <c r="BT52" s="122" t="s">
        <v>232</v>
      </c>
      <c r="BU52" s="122" t="s">
        <v>86</v>
      </c>
      <c r="BV52" s="128" t="s">
        <v>437</v>
      </c>
      <c r="BW52" s="122">
        <v>2.1</v>
      </c>
      <c r="BX52" s="122">
        <v>2.6</v>
      </c>
      <c r="BZ52" s="103" t="s">
        <v>605</v>
      </c>
      <c r="CA52" s="104">
        <v>5.5</v>
      </c>
      <c r="CB52" s="103" t="s">
        <v>758</v>
      </c>
      <c r="CC52" s="104">
        <v>7</v>
      </c>
      <c r="CD52" s="103"/>
      <c r="CE52" s="104"/>
      <c r="CF52" s="103"/>
      <c r="CG52" s="104"/>
      <c r="CH52" s="103"/>
      <c r="CI52" s="104"/>
      <c r="CJ52" s="103" t="s">
        <v>482</v>
      </c>
      <c r="CK52" s="104">
        <v>6.5</v>
      </c>
      <c r="CL52" s="7"/>
      <c r="CM52" s="103" t="s">
        <v>564</v>
      </c>
      <c r="CN52" s="104">
        <v>7</v>
      </c>
      <c r="CO52" s="103"/>
      <c r="CP52" s="104"/>
      <c r="CQ52" s="103" t="s">
        <v>382</v>
      </c>
      <c r="CR52" s="104">
        <v>6</v>
      </c>
      <c r="CS52" s="103" t="s">
        <v>716</v>
      </c>
      <c r="CT52" s="104">
        <v>8</v>
      </c>
      <c r="CU52" s="103" t="s">
        <v>660</v>
      </c>
      <c r="CV52" s="104">
        <v>4.5</v>
      </c>
      <c r="CW52" s="135" t="s">
        <v>726</v>
      </c>
      <c r="CX52" s="104">
        <v>5.5</v>
      </c>
      <c r="CY52" s="103" t="s">
        <v>647</v>
      </c>
      <c r="CZ52" s="9">
        <v>3.5</v>
      </c>
    </row>
    <row r="53" spans="52:104" ht="33" x14ac:dyDescent="0.2">
      <c r="BC53" s="15"/>
      <c r="BD53" s="15"/>
      <c r="BE53" s="15"/>
      <c r="BF53" s="15"/>
      <c r="BG53" s="15"/>
      <c r="BH53" s="15"/>
      <c r="BJ53" s="15" t="s">
        <v>1098</v>
      </c>
      <c r="BK53" t="s">
        <v>274</v>
      </c>
      <c r="BL53" t="s">
        <v>158</v>
      </c>
      <c r="BM53" t="s">
        <v>254</v>
      </c>
      <c r="BN53"/>
      <c r="BO53"/>
      <c r="BQ53" s="1"/>
      <c r="BT53" s="122" t="s">
        <v>232</v>
      </c>
      <c r="BU53" s="122" t="s">
        <v>86</v>
      </c>
      <c r="BV53" s="123" t="s">
        <v>438</v>
      </c>
      <c r="BW53" s="122">
        <v>2.1</v>
      </c>
      <c r="BX53" s="122">
        <v>2.6</v>
      </c>
      <c r="BZ53" s="103" t="s">
        <v>325</v>
      </c>
      <c r="CA53" s="104">
        <v>5.5</v>
      </c>
      <c r="CB53" s="103" t="s">
        <v>759</v>
      </c>
      <c r="CC53" s="104">
        <v>7</v>
      </c>
      <c r="CD53" s="103" t="s">
        <v>573</v>
      </c>
      <c r="CE53" s="104">
        <v>6</v>
      </c>
      <c r="CF53" s="103"/>
      <c r="CG53" s="104"/>
      <c r="CH53" s="103"/>
      <c r="CI53" s="104"/>
      <c r="CJ53" s="103" t="s">
        <v>483</v>
      </c>
      <c r="CK53" s="104">
        <v>6.5</v>
      </c>
      <c r="CL53" s="7"/>
      <c r="CM53" s="103"/>
      <c r="CN53" s="104"/>
      <c r="CO53" s="103"/>
      <c r="CP53" s="104"/>
      <c r="CQ53" s="103" t="s">
        <v>634</v>
      </c>
      <c r="CR53" s="104">
        <v>6</v>
      </c>
      <c r="CS53" s="103" t="s">
        <v>717</v>
      </c>
      <c r="CT53" s="104">
        <v>8</v>
      </c>
      <c r="CU53" s="103" t="s">
        <v>661</v>
      </c>
      <c r="CV53" s="104">
        <v>4.5</v>
      </c>
      <c r="CW53" s="135" t="s">
        <v>727</v>
      </c>
      <c r="CX53" s="104">
        <v>5.5</v>
      </c>
      <c r="CY53" s="103" t="s">
        <v>648</v>
      </c>
      <c r="CZ53" s="9">
        <v>3.5</v>
      </c>
    </row>
    <row r="54" spans="52:104" ht="33" x14ac:dyDescent="0.2">
      <c r="BC54" s="15"/>
      <c r="BD54" s="15"/>
      <c r="BE54" s="15"/>
      <c r="BF54" s="15"/>
      <c r="BG54" s="15"/>
      <c r="BH54" s="15"/>
      <c r="BJ54" s="131" t="s">
        <v>161</v>
      </c>
      <c r="BK54" t="s">
        <v>275</v>
      </c>
      <c r="BL54" t="s">
        <v>141</v>
      </c>
      <c r="BM54" t="s">
        <v>254</v>
      </c>
      <c r="BN54"/>
      <c r="BO54"/>
      <c r="BT54" s="122" t="s">
        <v>232</v>
      </c>
      <c r="BU54" s="122" t="s">
        <v>86</v>
      </c>
      <c r="BV54" s="123" t="s">
        <v>233</v>
      </c>
      <c r="BW54" s="122">
        <v>2.1</v>
      </c>
      <c r="BX54" s="122">
        <v>2.6</v>
      </c>
      <c r="BZ54" s="103" t="s">
        <v>606</v>
      </c>
      <c r="CA54" s="104">
        <v>5.5</v>
      </c>
      <c r="CB54" s="103"/>
      <c r="CC54" s="104"/>
      <c r="CD54" s="103" t="s">
        <v>574</v>
      </c>
      <c r="CE54" s="104">
        <v>6</v>
      </c>
      <c r="CF54" s="103"/>
      <c r="CG54" s="104"/>
      <c r="CH54" s="103"/>
      <c r="CI54" s="104"/>
      <c r="CJ54" s="103" t="s">
        <v>237</v>
      </c>
      <c r="CK54" s="104">
        <v>6.5</v>
      </c>
      <c r="CL54" s="7"/>
      <c r="CM54" s="103"/>
      <c r="CN54" s="104"/>
      <c r="CO54" s="103"/>
      <c r="CP54" s="104"/>
      <c r="CQ54" s="103" t="s">
        <v>635</v>
      </c>
      <c r="CR54" s="104">
        <v>6</v>
      </c>
      <c r="CS54" s="103" t="s">
        <v>718</v>
      </c>
      <c r="CT54" s="104">
        <v>8</v>
      </c>
      <c r="CU54" s="103" t="s">
        <v>662</v>
      </c>
      <c r="CV54" s="104">
        <v>4.5</v>
      </c>
      <c r="CW54" s="135" t="s">
        <v>728</v>
      </c>
      <c r="CX54" s="104">
        <v>5.5</v>
      </c>
      <c r="CY54" s="103" t="s">
        <v>649</v>
      </c>
      <c r="CZ54" s="9">
        <v>3.5</v>
      </c>
    </row>
    <row r="55" spans="52:104" ht="22" x14ac:dyDescent="0.2">
      <c r="BC55" s="15"/>
      <c r="BD55" s="15"/>
      <c r="BE55" s="15"/>
      <c r="BF55" s="15"/>
      <c r="BG55" s="15"/>
      <c r="BH55" s="15"/>
      <c r="BJ55" s="131" t="s">
        <v>282</v>
      </c>
      <c r="BK55" t="s">
        <v>276</v>
      </c>
      <c r="BL55" t="s">
        <v>141</v>
      </c>
      <c r="BM55">
        <v>1.5</v>
      </c>
      <c r="BN55"/>
      <c r="BO55"/>
      <c r="BT55" s="122" t="s">
        <v>232</v>
      </c>
      <c r="BU55" s="122" t="s">
        <v>86</v>
      </c>
      <c r="BV55" s="121" t="s">
        <v>234</v>
      </c>
      <c r="BW55" s="122">
        <v>2.1</v>
      </c>
      <c r="BX55" s="122">
        <v>2.6</v>
      </c>
      <c r="BZ55" s="103" t="s">
        <v>404</v>
      </c>
      <c r="CA55" s="104">
        <v>5.5</v>
      </c>
      <c r="CB55" s="103" t="s">
        <v>768</v>
      </c>
      <c r="CC55" s="104">
        <v>7.5</v>
      </c>
      <c r="CD55" s="103" t="s">
        <v>575</v>
      </c>
      <c r="CE55" s="104">
        <v>6</v>
      </c>
      <c r="CF55" s="103"/>
      <c r="CG55" s="104"/>
      <c r="CH55" s="103"/>
      <c r="CI55" s="104"/>
      <c r="CJ55" s="103" t="s">
        <v>484</v>
      </c>
      <c r="CK55" s="104">
        <v>6.5</v>
      </c>
      <c r="CL55" s="7"/>
      <c r="CM55" s="103"/>
      <c r="CN55" s="104"/>
      <c r="CO55" s="103"/>
      <c r="CP55" s="104"/>
      <c r="CQ55" s="103" t="s">
        <v>636</v>
      </c>
      <c r="CR55" s="104">
        <v>6</v>
      </c>
      <c r="CS55" s="103" t="s">
        <v>719</v>
      </c>
      <c r="CT55" s="104">
        <v>8</v>
      </c>
      <c r="CU55" s="103" t="s">
        <v>663</v>
      </c>
      <c r="CV55" s="104">
        <v>4.5</v>
      </c>
      <c r="CW55" s="103"/>
      <c r="CX55" s="104"/>
      <c r="CY55" s="103" t="s">
        <v>650</v>
      </c>
      <c r="CZ55" s="9">
        <v>3.5</v>
      </c>
    </row>
    <row r="56" spans="52:104" ht="33" x14ac:dyDescent="0.2">
      <c r="BC56" s="15"/>
      <c r="BD56" s="15"/>
      <c r="BE56" s="15"/>
      <c r="BF56" s="15"/>
      <c r="BG56" s="15"/>
      <c r="BH56" s="15"/>
      <c r="BJ56" s="138" t="s">
        <v>176</v>
      </c>
      <c r="BK56" t="s">
        <v>277</v>
      </c>
      <c r="BL56" t="s">
        <v>141</v>
      </c>
      <c r="BM56">
        <v>1.5</v>
      </c>
      <c r="BN56"/>
      <c r="BO56"/>
      <c r="BT56" s="122" t="s">
        <v>232</v>
      </c>
      <c r="BU56" s="122" t="s">
        <v>86</v>
      </c>
      <c r="BV56" s="123" t="s">
        <v>439</v>
      </c>
      <c r="BW56" s="122">
        <v>2.1</v>
      </c>
      <c r="BX56" s="122">
        <v>2.6</v>
      </c>
      <c r="BZ56" s="103" t="s">
        <v>729</v>
      </c>
      <c r="CA56" s="104">
        <v>5.5</v>
      </c>
      <c r="CB56" s="103" t="s">
        <v>769</v>
      </c>
      <c r="CC56" s="104">
        <v>7.5</v>
      </c>
      <c r="CD56" s="103" t="s">
        <v>576</v>
      </c>
      <c r="CE56" s="104">
        <v>6</v>
      </c>
      <c r="CF56" s="103"/>
      <c r="CG56" s="104"/>
      <c r="CH56" s="103"/>
      <c r="CI56" s="104"/>
      <c r="CJ56" s="103" t="s">
        <v>485</v>
      </c>
      <c r="CK56" s="104">
        <v>6.5</v>
      </c>
      <c r="CL56" s="7"/>
      <c r="CM56" s="103"/>
      <c r="CN56" s="104"/>
      <c r="CO56" s="103"/>
      <c r="CP56" s="104"/>
      <c r="CQ56" s="103" t="s">
        <v>637</v>
      </c>
      <c r="CR56" s="104">
        <v>6</v>
      </c>
      <c r="CS56" s="103" t="s">
        <v>720</v>
      </c>
      <c r="CT56" s="104">
        <v>8</v>
      </c>
      <c r="CU56" s="103" t="s">
        <v>664</v>
      </c>
      <c r="CV56" s="104">
        <v>4.5</v>
      </c>
      <c r="CW56" s="103" t="s">
        <v>854</v>
      </c>
      <c r="CX56" s="104">
        <v>6.5</v>
      </c>
      <c r="CY56" s="103" t="s">
        <v>651</v>
      </c>
      <c r="CZ56" s="9">
        <v>3.5</v>
      </c>
    </row>
    <row r="57" spans="52:104" ht="22" x14ac:dyDescent="0.2">
      <c r="BC57" s="15"/>
      <c r="BD57" s="15"/>
      <c r="BE57" s="15"/>
      <c r="BF57" s="15"/>
      <c r="BG57" s="15"/>
      <c r="BH57" s="15"/>
      <c r="BJ57" s="131" t="s">
        <v>1130</v>
      </c>
      <c r="BK57" t="s">
        <v>278</v>
      </c>
      <c r="BL57" t="s">
        <v>141</v>
      </c>
      <c r="BM57">
        <v>2</v>
      </c>
      <c r="BN57"/>
      <c r="BO57"/>
      <c r="BQ57" s="124"/>
      <c r="BT57" s="122" t="s">
        <v>235</v>
      </c>
      <c r="BU57" s="122" t="s">
        <v>86</v>
      </c>
      <c r="BV57" s="121" t="s">
        <v>448</v>
      </c>
      <c r="BW57" s="122">
        <v>2.1</v>
      </c>
      <c r="BX57" s="122">
        <v>2.6</v>
      </c>
      <c r="BZ57" s="103" t="s">
        <v>607</v>
      </c>
      <c r="CA57" s="104">
        <v>5.5</v>
      </c>
      <c r="CB57" s="103" t="s">
        <v>770</v>
      </c>
      <c r="CC57" s="104">
        <v>7.5</v>
      </c>
      <c r="CD57" s="103" t="s">
        <v>577</v>
      </c>
      <c r="CE57" s="104">
        <v>6</v>
      </c>
      <c r="CF57" s="103"/>
      <c r="CG57" s="104"/>
      <c r="CH57" s="103"/>
      <c r="CI57" s="104"/>
      <c r="CJ57" s="103" t="s">
        <v>486</v>
      </c>
      <c r="CK57" s="9">
        <v>6.5</v>
      </c>
      <c r="CL57" s="7"/>
      <c r="CM57" s="103"/>
      <c r="CN57" s="104"/>
      <c r="CO57" s="103"/>
      <c r="CP57" s="104"/>
      <c r="CQ57" s="103" t="s">
        <v>638</v>
      </c>
      <c r="CR57" s="104">
        <v>6</v>
      </c>
      <c r="CS57" s="103" t="s">
        <v>721</v>
      </c>
      <c r="CT57" s="104">
        <v>8</v>
      </c>
      <c r="CU57" s="103" t="s">
        <v>665</v>
      </c>
      <c r="CV57" s="104">
        <v>4.5</v>
      </c>
      <c r="CW57" s="103" t="s">
        <v>855</v>
      </c>
      <c r="CX57" s="104">
        <v>6.5</v>
      </c>
      <c r="CY57" s="103" t="s">
        <v>652</v>
      </c>
      <c r="CZ57" s="9">
        <v>3.5</v>
      </c>
    </row>
    <row r="58" spans="52:104" ht="22" x14ac:dyDescent="0.2">
      <c r="BC58" s="15"/>
      <c r="BD58" s="15"/>
      <c r="BE58" s="15"/>
      <c r="BF58" s="15"/>
      <c r="BG58" s="15"/>
      <c r="BH58" s="15"/>
      <c r="BJ58" s="131"/>
      <c r="BK58" s="20" t="s">
        <v>163</v>
      </c>
      <c r="BL58" t="s">
        <v>141</v>
      </c>
      <c r="BM58">
        <v>2</v>
      </c>
      <c r="BN58"/>
      <c r="BO58"/>
      <c r="BQ58" s="124"/>
      <c r="BT58" s="122" t="s">
        <v>235</v>
      </c>
      <c r="BU58" s="122" t="s">
        <v>86</v>
      </c>
      <c r="BV58" s="127" t="s">
        <v>440</v>
      </c>
      <c r="BW58" s="122">
        <v>2.1</v>
      </c>
      <c r="BX58" s="122">
        <v>2.6</v>
      </c>
      <c r="BZ58" s="103" t="s">
        <v>608</v>
      </c>
      <c r="CA58" s="104">
        <v>5.5</v>
      </c>
      <c r="CB58" s="103" t="s">
        <v>771</v>
      </c>
      <c r="CC58" s="104">
        <v>7.5</v>
      </c>
      <c r="CD58" s="103" t="s">
        <v>578</v>
      </c>
      <c r="CE58" s="104">
        <v>6</v>
      </c>
      <c r="CF58" s="103"/>
      <c r="CG58" s="104"/>
      <c r="CJ58" s="103" t="s">
        <v>391</v>
      </c>
      <c r="CK58" s="9">
        <v>6.5</v>
      </c>
      <c r="CL58" s="7"/>
      <c r="CM58" s="103"/>
      <c r="CN58" s="104"/>
      <c r="CO58" s="103"/>
      <c r="CP58" s="104"/>
      <c r="CQ58" s="103" t="s">
        <v>639</v>
      </c>
      <c r="CR58" s="104">
        <v>6</v>
      </c>
      <c r="CS58" s="103" t="s">
        <v>722</v>
      </c>
      <c r="CT58" s="104">
        <v>8</v>
      </c>
      <c r="CU58" s="103" t="s">
        <v>378</v>
      </c>
      <c r="CV58" s="104">
        <v>4.5</v>
      </c>
      <c r="CW58" s="103" t="s">
        <v>856</v>
      </c>
      <c r="CX58" s="104">
        <v>6.5</v>
      </c>
      <c r="CY58" s="103" t="s">
        <v>653</v>
      </c>
      <c r="CZ58" s="9">
        <v>4.5</v>
      </c>
    </row>
    <row r="59" spans="52:104" ht="33" x14ac:dyDescent="0.2">
      <c r="BC59" s="15"/>
      <c r="BD59" s="15"/>
      <c r="BE59" s="15"/>
      <c r="BF59" s="15"/>
      <c r="BG59" s="15"/>
      <c r="BH59" s="15"/>
      <c r="BJ59" s="131"/>
      <c r="BK59" s="20" t="s">
        <v>93</v>
      </c>
      <c r="BL59" t="s">
        <v>141</v>
      </c>
      <c r="BM59">
        <v>4</v>
      </c>
      <c r="BN59"/>
      <c r="BO59"/>
      <c r="BT59" s="122" t="s">
        <v>235</v>
      </c>
      <c r="BU59" s="122" t="s">
        <v>86</v>
      </c>
      <c r="BV59" s="121" t="s">
        <v>237</v>
      </c>
      <c r="BW59" s="122">
        <v>2.2999999999999998</v>
      </c>
      <c r="BX59" s="122">
        <v>2.8</v>
      </c>
      <c r="BZ59" s="103"/>
      <c r="CA59" s="104"/>
      <c r="CB59" s="103" t="s">
        <v>772</v>
      </c>
      <c r="CC59" s="104">
        <v>7.5</v>
      </c>
      <c r="CD59" s="103"/>
      <c r="CE59" s="104"/>
      <c r="CF59" s="103"/>
      <c r="CG59" s="104"/>
      <c r="CJ59" s="103" t="s">
        <v>487</v>
      </c>
      <c r="CK59" s="9">
        <v>6.5</v>
      </c>
      <c r="CL59" s="7"/>
      <c r="CM59" s="103"/>
      <c r="CN59" s="104"/>
      <c r="CO59" s="103"/>
      <c r="CP59" s="104"/>
      <c r="CQ59" s="103" t="s">
        <v>640</v>
      </c>
      <c r="CR59" s="104">
        <v>6</v>
      </c>
      <c r="CS59" s="103" t="s">
        <v>723</v>
      </c>
      <c r="CT59" s="104">
        <v>8</v>
      </c>
      <c r="CU59" s="103" t="s">
        <v>666</v>
      </c>
      <c r="CV59" s="104">
        <v>4.5</v>
      </c>
      <c r="CW59" s="103" t="s">
        <v>857</v>
      </c>
      <c r="CX59" s="104">
        <v>6.5</v>
      </c>
      <c r="CY59" s="103" t="s">
        <v>654</v>
      </c>
      <c r="CZ59" s="9">
        <v>4.5</v>
      </c>
    </row>
    <row r="60" spans="52:104" ht="22" x14ac:dyDescent="0.2">
      <c r="BC60" s="15"/>
      <c r="BD60" s="15"/>
      <c r="BE60" s="15"/>
      <c r="BF60" s="15"/>
      <c r="BG60" s="15"/>
      <c r="BH60" s="15"/>
      <c r="BJ60" s="131"/>
      <c r="BK60" s="20" t="s">
        <v>177</v>
      </c>
      <c r="BL60" t="s">
        <v>141</v>
      </c>
      <c r="BM60" t="s">
        <v>254</v>
      </c>
      <c r="BN60"/>
      <c r="BO60"/>
      <c r="BT60" s="122" t="s">
        <v>235</v>
      </c>
      <c r="BU60" s="122" t="s">
        <v>86</v>
      </c>
      <c r="BV60" s="123" t="s">
        <v>416</v>
      </c>
      <c r="BW60" s="122">
        <v>2.2999999999999998</v>
      </c>
      <c r="BX60" s="122">
        <v>2.8</v>
      </c>
      <c r="BZ60" s="103" t="s">
        <v>730</v>
      </c>
      <c r="CA60" s="104">
        <v>6.5</v>
      </c>
      <c r="CB60" s="103" t="s">
        <v>773</v>
      </c>
      <c r="CC60" s="104">
        <v>7.5</v>
      </c>
      <c r="CD60" s="103" t="s">
        <v>584</v>
      </c>
      <c r="CE60" s="104">
        <v>6.5</v>
      </c>
      <c r="CF60" s="103"/>
      <c r="CG60" s="104"/>
      <c r="CJ60" s="103" t="s">
        <v>488</v>
      </c>
      <c r="CK60" s="9">
        <v>6.5</v>
      </c>
      <c r="CL60" s="7"/>
      <c r="CM60" s="103"/>
      <c r="CN60" s="104"/>
      <c r="CO60" s="103"/>
      <c r="CP60" s="104"/>
      <c r="CQ60" s="103" t="s">
        <v>641</v>
      </c>
      <c r="CR60" s="104">
        <v>6</v>
      </c>
      <c r="CS60" s="103" t="s">
        <v>724</v>
      </c>
      <c r="CT60" s="104">
        <v>8</v>
      </c>
      <c r="CU60" s="103" t="s">
        <v>342</v>
      </c>
      <c r="CV60" s="104">
        <v>4.5</v>
      </c>
      <c r="CW60" s="103" t="s">
        <v>858</v>
      </c>
      <c r="CX60" s="104">
        <v>6.5</v>
      </c>
      <c r="CY60" s="103" t="s">
        <v>655</v>
      </c>
      <c r="CZ60" s="9">
        <v>4.5</v>
      </c>
    </row>
    <row r="61" spans="52:104" ht="22" x14ac:dyDescent="0.2">
      <c r="BC61" s="15"/>
      <c r="BD61" s="15"/>
      <c r="BE61" s="15"/>
      <c r="BF61" s="15"/>
      <c r="BG61" s="15"/>
      <c r="BH61" s="15"/>
      <c r="BJ61" s="131"/>
      <c r="BK61" s="20" t="s">
        <v>161</v>
      </c>
      <c r="BL61" t="s">
        <v>158</v>
      </c>
      <c r="BM61">
        <v>1.75</v>
      </c>
      <c r="BN61"/>
      <c r="BO61"/>
      <c r="BT61" s="122" t="s">
        <v>239</v>
      </c>
      <c r="BU61" s="122" t="s">
        <v>86</v>
      </c>
      <c r="BV61" s="121" t="s">
        <v>441</v>
      </c>
      <c r="BW61" s="122">
        <v>2.2999999999999998</v>
      </c>
      <c r="BX61" s="122">
        <v>2.8</v>
      </c>
      <c r="BZ61" s="103" t="s">
        <v>731</v>
      </c>
      <c r="CA61" s="104">
        <v>6.5</v>
      </c>
      <c r="CB61" s="103" t="s">
        <v>774</v>
      </c>
      <c r="CC61" s="104">
        <v>7.5</v>
      </c>
      <c r="CD61" s="103" t="s">
        <v>322</v>
      </c>
      <c r="CE61" s="104">
        <v>6.5</v>
      </c>
      <c r="CF61" s="103"/>
      <c r="CG61" s="104"/>
      <c r="CJ61" s="103" t="s">
        <v>489</v>
      </c>
      <c r="CK61" s="9">
        <v>6.5</v>
      </c>
      <c r="CL61" s="7"/>
      <c r="CM61" s="103"/>
      <c r="CN61" s="104"/>
      <c r="CO61" s="103"/>
      <c r="CP61" s="104"/>
      <c r="CQ61" s="103" t="s">
        <v>642</v>
      </c>
      <c r="CR61" s="104">
        <v>6</v>
      </c>
      <c r="CS61" s="103" t="s">
        <v>725</v>
      </c>
      <c r="CT61" s="104">
        <v>8</v>
      </c>
      <c r="CU61" s="103" t="s">
        <v>667</v>
      </c>
      <c r="CV61" s="104">
        <v>4.5</v>
      </c>
      <c r="CW61" s="103" t="s">
        <v>859</v>
      </c>
      <c r="CX61" s="104">
        <v>6.5</v>
      </c>
      <c r="CY61" s="103" t="s">
        <v>656</v>
      </c>
      <c r="CZ61" s="9">
        <v>4.5</v>
      </c>
    </row>
    <row r="62" spans="52:104" ht="22" x14ac:dyDescent="0.2">
      <c r="BC62" s="15"/>
      <c r="BD62" s="15"/>
      <c r="BE62" s="15"/>
      <c r="BF62" s="15"/>
      <c r="BG62" s="15"/>
      <c r="BH62" s="15"/>
      <c r="BJ62" s="131"/>
      <c r="BK62" s="20" t="s">
        <v>165</v>
      </c>
      <c r="BL62" t="s">
        <v>158</v>
      </c>
      <c r="BM62">
        <v>3.5</v>
      </c>
      <c r="BN62"/>
      <c r="BO62"/>
      <c r="BT62" s="122" t="s">
        <v>239</v>
      </c>
      <c r="BU62" s="122" t="s">
        <v>86</v>
      </c>
      <c r="BV62" s="121" t="s">
        <v>236</v>
      </c>
      <c r="BW62" s="122">
        <v>2.2999999999999998</v>
      </c>
      <c r="BX62" s="122">
        <v>2.8</v>
      </c>
      <c r="BZ62" s="103" t="s">
        <v>732</v>
      </c>
      <c r="CA62" s="104">
        <v>6.5</v>
      </c>
      <c r="CB62" s="103"/>
      <c r="CC62" s="104"/>
      <c r="CD62" s="103" t="s">
        <v>585</v>
      </c>
      <c r="CE62" s="104">
        <v>6.5</v>
      </c>
      <c r="CF62" s="103"/>
      <c r="CG62" s="104"/>
      <c r="CJ62" s="103" t="s">
        <v>305</v>
      </c>
      <c r="CK62" s="9">
        <v>6.5</v>
      </c>
      <c r="CL62" s="7"/>
      <c r="CM62" s="103"/>
      <c r="CN62" s="104"/>
      <c r="CO62" s="103"/>
      <c r="CP62" s="104"/>
      <c r="CQ62" s="103" t="s">
        <v>643</v>
      </c>
      <c r="CR62" s="104">
        <v>6</v>
      </c>
      <c r="CS62" s="103" t="s">
        <v>726</v>
      </c>
      <c r="CT62" s="104">
        <v>8</v>
      </c>
      <c r="CU62" s="103" t="s">
        <v>668</v>
      </c>
      <c r="CV62" s="104">
        <v>4.5</v>
      </c>
      <c r="CW62" s="103" t="s">
        <v>860</v>
      </c>
      <c r="CX62" s="104">
        <v>6.5</v>
      </c>
      <c r="CY62" s="103" t="s">
        <v>657</v>
      </c>
      <c r="CZ62" s="9">
        <v>4.5</v>
      </c>
    </row>
    <row r="63" spans="52:104" ht="33" x14ac:dyDescent="0.2">
      <c r="BC63" s="15"/>
      <c r="BD63" s="15"/>
      <c r="BE63" s="15"/>
      <c r="BF63" s="15"/>
      <c r="BG63" s="15"/>
      <c r="BH63" s="15"/>
      <c r="BJ63" s="131"/>
      <c r="BK63" s="20" t="s">
        <v>162</v>
      </c>
      <c r="BL63" t="s">
        <v>158</v>
      </c>
      <c r="BM63">
        <v>4</v>
      </c>
      <c r="BN63"/>
      <c r="BO63"/>
      <c r="BT63" s="122" t="s">
        <v>239</v>
      </c>
      <c r="BU63" s="122" t="s">
        <v>86</v>
      </c>
      <c r="BV63" s="127" t="s">
        <v>238</v>
      </c>
      <c r="BW63" s="122">
        <v>2.2999999999999998</v>
      </c>
      <c r="BX63" s="122">
        <v>2.8</v>
      </c>
      <c r="BZ63" s="103" t="s">
        <v>399</v>
      </c>
      <c r="CA63" s="104">
        <v>6.5</v>
      </c>
      <c r="CB63" s="103" t="s">
        <v>787</v>
      </c>
      <c r="CC63" s="104">
        <v>8</v>
      </c>
      <c r="CD63" s="103" t="s">
        <v>586</v>
      </c>
      <c r="CE63" s="104">
        <v>6.5</v>
      </c>
      <c r="CF63" s="103"/>
      <c r="CG63" s="104"/>
      <c r="CJ63" s="103" t="s">
        <v>490</v>
      </c>
      <c r="CK63" s="104">
        <v>6.5</v>
      </c>
      <c r="CL63" s="7"/>
      <c r="CM63" s="103"/>
      <c r="CN63" s="104"/>
      <c r="CO63" s="103"/>
      <c r="CP63" s="104"/>
      <c r="CQ63" s="103" t="s">
        <v>644</v>
      </c>
      <c r="CR63" s="104">
        <v>6</v>
      </c>
      <c r="CS63" s="103" t="s">
        <v>727</v>
      </c>
      <c r="CT63" s="104">
        <v>8</v>
      </c>
      <c r="CU63" s="103" t="s">
        <v>669</v>
      </c>
      <c r="CV63" s="104">
        <v>4.5</v>
      </c>
      <c r="CW63" s="103" t="s">
        <v>861</v>
      </c>
      <c r="CX63" s="104">
        <v>6.5</v>
      </c>
      <c r="CY63" s="103" t="s">
        <v>658</v>
      </c>
      <c r="CZ63" s="9">
        <v>4.5</v>
      </c>
    </row>
    <row r="64" spans="52:104" ht="33" x14ac:dyDescent="0.2">
      <c r="AZ64" s="1"/>
      <c r="BA64" s="1"/>
      <c r="BC64" s="15"/>
      <c r="BD64" s="15"/>
      <c r="BE64" s="15"/>
      <c r="BF64" s="15"/>
      <c r="BG64" s="15"/>
      <c r="BH64" s="15"/>
      <c r="BJ64" s="131"/>
      <c r="BK64" s="20" t="s">
        <v>166</v>
      </c>
      <c r="BL64" t="s">
        <v>141</v>
      </c>
      <c r="BM64">
        <v>3.5</v>
      </c>
      <c r="BN64"/>
      <c r="BO64"/>
      <c r="BQ64" s="125"/>
      <c r="BT64" s="122" t="s">
        <v>239</v>
      </c>
      <c r="BU64" s="122" t="s">
        <v>86</v>
      </c>
      <c r="BV64" s="123" t="s">
        <v>442</v>
      </c>
      <c r="BW64" s="122">
        <v>2.5</v>
      </c>
      <c r="BX64" s="122">
        <v>3</v>
      </c>
      <c r="BZ64" s="103" t="s">
        <v>733</v>
      </c>
      <c r="CA64" s="104">
        <v>6.5</v>
      </c>
      <c r="CB64" s="103" t="s">
        <v>788</v>
      </c>
      <c r="CC64" s="104">
        <v>8</v>
      </c>
      <c r="CD64" s="103" t="s">
        <v>323</v>
      </c>
      <c r="CE64" s="104">
        <v>6.5</v>
      </c>
      <c r="CF64" s="103"/>
      <c r="CG64" s="104"/>
      <c r="CJ64" s="103" t="s">
        <v>491</v>
      </c>
      <c r="CK64" s="9">
        <v>6.5</v>
      </c>
      <c r="CL64" s="7"/>
      <c r="CM64" s="103"/>
      <c r="CN64" s="104"/>
      <c r="CO64" s="103"/>
      <c r="CP64" s="104"/>
      <c r="CQ64" s="103" t="s">
        <v>645</v>
      </c>
      <c r="CR64" s="104">
        <v>6</v>
      </c>
      <c r="CS64" s="103" t="s">
        <v>728</v>
      </c>
      <c r="CT64" s="104">
        <v>8</v>
      </c>
      <c r="CU64" s="103"/>
      <c r="CV64" s="104"/>
      <c r="CW64" s="103" t="s">
        <v>862</v>
      </c>
      <c r="CX64" s="104">
        <v>6.5</v>
      </c>
      <c r="CY64" s="103" t="s">
        <v>659</v>
      </c>
      <c r="CZ64" s="9">
        <v>4.5</v>
      </c>
    </row>
    <row r="65" spans="55:104" ht="33" x14ac:dyDescent="0.2">
      <c r="BC65" s="15"/>
      <c r="BD65" s="16"/>
      <c r="BE65" s="120"/>
      <c r="BF65" s="15"/>
      <c r="BG65" s="15"/>
      <c r="BH65" s="15"/>
      <c r="BJ65" s="131"/>
      <c r="BK65" s="20" t="s">
        <v>279</v>
      </c>
      <c r="BL65" t="s">
        <v>95</v>
      </c>
      <c r="BM65">
        <v>4</v>
      </c>
      <c r="BN65"/>
      <c r="BO65"/>
      <c r="BT65" s="122" t="s">
        <v>239</v>
      </c>
      <c r="BU65" s="122" t="s">
        <v>86</v>
      </c>
      <c r="BV65" s="121" t="s">
        <v>242</v>
      </c>
      <c r="BW65" s="122">
        <v>2.5</v>
      </c>
      <c r="BX65" s="122">
        <v>3</v>
      </c>
      <c r="BZ65" s="103" t="s">
        <v>734</v>
      </c>
      <c r="CA65" s="104">
        <v>6.5</v>
      </c>
      <c r="CB65" s="103" t="s">
        <v>789</v>
      </c>
      <c r="CC65" s="104">
        <v>8</v>
      </c>
      <c r="CD65" s="103" t="s">
        <v>324</v>
      </c>
      <c r="CE65" s="104">
        <v>6.5</v>
      </c>
      <c r="CF65" s="103"/>
      <c r="CG65" s="104"/>
      <c r="CJ65" s="103" t="s">
        <v>492</v>
      </c>
      <c r="CK65" s="9">
        <v>7</v>
      </c>
      <c r="CL65" s="7"/>
      <c r="CM65" s="103"/>
      <c r="CN65" s="104"/>
      <c r="CO65" s="103"/>
      <c r="CP65" s="104"/>
      <c r="CQ65" s="103"/>
      <c r="CR65" s="104"/>
      <c r="CS65" s="103"/>
      <c r="CT65" s="104"/>
      <c r="CU65" s="103" t="s">
        <v>675</v>
      </c>
      <c r="CV65" s="104">
        <v>5</v>
      </c>
      <c r="CW65" s="103" t="s">
        <v>863</v>
      </c>
      <c r="CX65" s="104">
        <v>6.5</v>
      </c>
      <c r="CY65" s="103" t="s">
        <v>660</v>
      </c>
      <c r="CZ65" s="9">
        <v>4.5</v>
      </c>
    </row>
    <row r="66" spans="55:104" ht="44" x14ac:dyDescent="0.2">
      <c r="BC66" s="15"/>
      <c r="BD66" s="15"/>
      <c r="BE66" s="16"/>
      <c r="BF66" s="15"/>
      <c r="BG66" s="15"/>
      <c r="BH66" s="15"/>
      <c r="BJ66" s="131"/>
      <c r="BK66" s="20" t="s">
        <v>1110</v>
      </c>
      <c r="BL66" t="s">
        <v>158</v>
      </c>
      <c r="BM66">
        <v>4</v>
      </c>
      <c r="BN66"/>
      <c r="BO66"/>
      <c r="BT66" s="122" t="s">
        <v>244</v>
      </c>
      <c r="BU66" s="122" t="s">
        <v>86</v>
      </c>
      <c r="BV66" s="121" t="s">
        <v>443</v>
      </c>
      <c r="BW66" s="122">
        <v>2.5</v>
      </c>
      <c r="BX66" s="122">
        <v>3</v>
      </c>
      <c r="BZ66" s="103" t="s">
        <v>392</v>
      </c>
      <c r="CA66" s="104">
        <v>6.5</v>
      </c>
      <c r="CB66" s="103" t="s">
        <v>790</v>
      </c>
      <c r="CC66" s="104">
        <v>8</v>
      </c>
      <c r="CD66" s="103" t="s">
        <v>587</v>
      </c>
      <c r="CE66" s="104">
        <v>6.5</v>
      </c>
      <c r="CF66" s="103"/>
      <c r="CG66" s="104"/>
      <c r="CJ66" s="103" t="s">
        <v>493</v>
      </c>
      <c r="CK66" s="9">
        <v>7</v>
      </c>
      <c r="CL66" s="7"/>
      <c r="CM66" s="103"/>
      <c r="CN66" s="104"/>
      <c r="CO66" s="103"/>
      <c r="CP66" s="104"/>
      <c r="CQ66" s="103" t="s">
        <v>653</v>
      </c>
      <c r="CR66" s="104">
        <v>6.5</v>
      </c>
      <c r="CS66" s="103"/>
      <c r="CT66" s="104"/>
      <c r="CU66" s="103" t="s">
        <v>676</v>
      </c>
      <c r="CV66" s="104">
        <v>5</v>
      </c>
      <c r="CW66" s="103" t="s">
        <v>864</v>
      </c>
      <c r="CX66" s="104">
        <v>6.5</v>
      </c>
      <c r="CY66" s="103" t="s">
        <v>661</v>
      </c>
      <c r="CZ66" s="9">
        <v>4.5</v>
      </c>
    </row>
    <row r="67" spans="55:104" ht="22" x14ac:dyDescent="0.2">
      <c r="BC67" s="15"/>
      <c r="BD67" s="15"/>
      <c r="BE67" s="15"/>
      <c r="BF67" s="15"/>
      <c r="BG67" s="15"/>
      <c r="BH67" s="15"/>
      <c r="BJ67" s="131"/>
      <c r="BK67" s="20" t="s">
        <v>174</v>
      </c>
      <c r="BL67" t="s">
        <v>158</v>
      </c>
      <c r="BM67">
        <v>4</v>
      </c>
      <c r="BN67"/>
      <c r="BO67"/>
      <c r="BT67" s="122" t="s">
        <v>244</v>
      </c>
      <c r="BU67" s="122" t="s">
        <v>86</v>
      </c>
      <c r="BV67" s="127" t="s">
        <v>240</v>
      </c>
      <c r="BW67" s="122">
        <v>2.5</v>
      </c>
      <c r="BX67" s="122">
        <v>3</v>
      </c>
      <c r="BZ67" s="103" t="s">
        <v>400</v>
      </c>
      <c r="CA67" s="104">
        <v>6.5</v>
      </c>
      <c r="CB67" s="103" t="s">
        <v>791</v>
      </c>
      <c r="CC67" s="104">
        <v>8</v>
      </c>
      <c r="CD67" s="103"/>
      <c r="CE67" s="104"/>
      <c r="CF67" s="103"/>
      <c r="CG67" s="104"/>
      <c r="CJ67" s="103" t="s">
        <v>309</v>
      </c>
      <c r="CK67" s="9">
        <v>7</v>
      </c>
      <c r="CL67" s="7"/>
      <c r="CM67" s="103"/>
      <c r="CN67" s="104"/>
      <c r="CO67" s="103"/>
      <c r="CP67" s="104"/>
      <c r="CQ67" s="103" t="s">
        <v>654</v>
      </c>
      <c r="CR67" s="104">
        <v>6.5</v>
      </c>
      <c r="CS67" s="103"/>
      <c r="CT67" s="104"/>
      <c r="CU67" s="103" t="s">
        <v>677</v>
      </c>
      <c r="CV67" s="104">
        <v>5</v>
      </c>
      <c r="CW67" s="103" t="s">
        <v>865</v>
      </c>
      <c r="CX67" s="104">
        <v>6.5</v>
      </c>
      <c r="CY67" s="103" t="s">
        <v>662</v>
      </c>
      <c r="CZ67" s="9">
        <v>4.5</v>
      </c>
    </row>
    <row r="68" spans="55:104" ht="33" x14ac:dyDescent="0.2">
      <c r="BC68" s="15"/>
      <c r="BD68" s="15"/>
      <c r="BE68" s="15"/>
      <c r="BF68" s="15"/>
      <c r="BG68" s="15"/>
      <c r="BH68" s="15"/>
      <c r="BJ68" s="131"/>
      <c r="BK68" s="20" t="s">
        <v>176</v>
      </c>
      <c r="BL68" t="s">
        <v>141</v>
      </c>
      <c r="BM68">
        <v>3.5</v>
      </c>
      <c r="BN68"/>
      <c r="BO68"/>
      <c r="BT68" s="122" t="s">
        <v>228</v>
      </c>
      <c r="BU68" s="122" t="s">
        <v>86</v>
      </c>
      <c r="BV68" s="15" t="s">
        <v>241</v>
      </c>
      <c r="BW68" s="122">
        <v>2.5</v>
      </c>
      <c r="BX68" s="122">
        <v>3</v>
      </c>
      <c r="BZ68" s="103" t="s">
        <v>735</v>
      </c>
      <c r="CA68" s="104">
        <v>6.5</v>
      </c>
      <c r="CB68" s="103" t="s">
        <v>397</v>
      </c>
      <c r="CC68" s="104">
        <v>8</v>
      </c>
      <c r="CD68" s="103" t="s">
        <v>591</v>
      </c>
      <c r="CE68" s="104">
        <v>7.5</v>
      </c>
      <c r="CF68" s="103"/>
      <c r="CG68" s="104"/>
      <c r="CJ68" s="103" t="s">
        <v>494</v>
      </c>
      <c r="CK68" s="9">
        <v>7</v>
      </c>
      <c r="CL68" s="7"/>
      <c r="CM68" s="103"/>
      <c r="CN68" s="104"/>
      <c r="CO68" s="103"/>
      <c r="CP68" s="104"/>
      <c r="CQ68" s="103" t="s">
        <v>655</v>
      </c>
      <c r="CR68" s="104">
        <v>6.5</v>
      </c>
      <c r="CS68" s="103"/>
      <c r="CT68" s="104"/>
      <c r="CU68" s="103" t="s">
        <v>678</v>
      </c>
      <c r="CV68" s="104">
        <v>5</v>
      </c>
      <c r="CW68" s="103" t="s">
        <v>866</v>
      </c>
      <c r="CX68" s="104">
        <v>6.5</v>
      </c>
      <c r="CY68" s="103" t="s">
        <v>663</v>
      </c>
      <c r="CZ68" s="9">
        <v>4.5</v>
      </c>
    </row>
    <row r="69" spans="55:104" ht="33" x14ac:dyDescent="0.2">
      <c r="BC69" s="15" t="s">
        <v>190</v>
      </c>
      <c r="BD69" s="15" t="s">
        <v>106</v>
      </c>
      <c r="BE69" s="15" t="s">
        <v>191</v>
      </c>
      <c r="BF69" s="15">
        <v>0</v>
      </c>
      <c r="BG69" s="15">
        <v>0</v>
      </c>
      <c r="BH69" s="15">
        <v>1</v>
      </c>
      <c r="BJ69" s="138"/>
      <c r="BK69" s="20" t="s">
        <v>155</v>
      </c>
      <c r="BL69" t="s">
        <v>141</v>
      </c>
      <c r="BM69">
        <v>7</v>
      </c>
      <c r="BN69"/>
      <c r="BO69"/>
      <c r="BT69" s="122" t="s">
        <v>232</v>
      </c>
      <c r="BU69" s="122" t="s">
        <v>86</v>
      </c>
      <c r="BV69" s="15" t="s">
        <v>243</v>
      </c>
      <c r="BW69" s="122">
        <v>2.7</v>
      </c>
      <c r="BX69" s="122">
        <v>3.2</v>
      </c>
      <c r="BZ69" s="103"/>
      <c r="CA69" s="104"/>
      <c r="CB69" s="103" t="s">
        <v>792</v>
      </c>
      <c r="CC69" s="104">
        <v>8</v>
      </c>
      <c r="CD69" s="103" t="s">
        <v>321</v>
      </c>
      <c r="CE69" s="104">
        <v>7.5</v>
      </c>
      <c r="CF69" s="103"/>
      <c r="CG69" s="104"/>
      <c r="CJ69" s="103" t="s">
        <v>495</v>
      </c>
      <c r="CK69" s="9">
        <v>7</v>
      </c>
      <c r="CL69" s="7"/>
      <c r="CM69" s="103"/>
      <c r="CN69" s="104"/>
      <c r="CO69" s="103"/>
      <c r="CP69" s="104"/>
      <c r="CQ69" s="103" t="s">
        <v>656</v>
      </c>
      <c r="CR69" s="104">
        <v>6.5</v>
      </c>
      <c r="CS69" s="103"/>
      <c r="CT69" s="104"/>
      <c r="CU69" s="103" t="s">
        <v>679</v>
      </c>
      <c r="CV69" s="104">
        <v>5</v>
      </c>
      <c r="CW69" s="103" t="s">
        <v>867</v>
      </c>
      <c r="CX69" s="104">
        <v>6.5</v>
      </c>
      <c r="CY69" s="103" t="s">
        <v>664</v>
      </c>
      <c r="CZ69" s="9">
        <v>4.5</v>
      </c>
    </row>
    <row r="70" spans="55:104" ht="33" x14ac:dyDescent="0.2">
      <c r="BC70" s="15"/>
      <c r="BD70" s="15"/>
      <c r="BE70" s="15"/>
      <c r="BF70" s="15"/>
      <c r="BG70" s="15"/>
      <c r="BH70" s="15"/>
      <c r="BJ70" s="138"/>
      <c r="BK70" t="s">
        <v>280</v>
      </c>
      <c r="BL70" t="s">
        <v>158</v>
      </c>
      <c r="BM70">
        <v>7</v>
      </c>
      <c r="BN70"/>
      <c r="BO70"/>
      <c r="BT70" s="122" t="s">
        <v>235</v>
      </c>
      <c r="BU70" s="122" t="s">
        <v>86</v>
      </c>
      <c r="BV70" s="15" t="s">
        <v>444</v>
      </c>
      <c r="BW70" s="122">
        <v>2.7</v>
      </c>
      <c r="BX70" s="122">
        <v>3.2</v>
      </c>
      <c r="BZ70" s="103" t="s">
        <v>406</v>
      </c>
      <c r="CA70" s="104">
        <v>7</v>
      </c>
      <c r="CB70" s="103" t="s">
        <v>793</v>
      </c>
      <c r="CC70" s="104">
        <v>8</v>
      </c>
      <c r="CD70" s="103" t="s">
        <v>592</v>
      </c>
      <c r="CE70" s="104">
        <v>7.5</v>
      </c>
      <c r="CF70" s="103"/>
      <c r="CG70" s="104"/>
      <c r="CJ70" s="103" t="s">
        <v>496</v>
      </c>
      <c r="CK70" s="9">
        <v>7</v>
      </c>
      <c r="CL70" s="7"/>
      <c r="CM70" s="103"/>
      <c r="CN70" s="104"/>
      <c r="CO70" s="103"/>
      <c r="CP70" s="104"/>
      <c r="CQ70" s="103" t="s">
        <v>657</v>
      </c>
      <c r="CR70" s="104">
        <v>6.5</v>
      </c>
      <c r="CS70" s="103"/>
      <c r="CT70" s="104"/>
      <c r="CU70" s="103" t="s">
        <v>680</v>
      </c>
      <c r="CV70" s="104">
        <v>5</v>
      </c>
      <c r="CW70" s="103" t="s">
        <v>868</v>
      </c>
      <c r="CX70" s="104">
        <v>6.5</v>
      </c>
      <c r="CY70" s="103" t="s">
        <v>665</v>
      </c>
      <c r="CZ70" s="9">
        <v>4.5</v>
      </c>
    </row>
    <row r="71" spans="55:104" ht="22" x14ac:dyDescent="0.2">
      <c r="BC71" s="15"/>
      <c r="BD71" s="15"/>
      <c r="BE71" s="15"/>
      <c r="BF71" s="15"/>
      <c r="BG71" s="15"/>
      <c r="BH71" s="15"/>
      <c r="BJ71" s="131"/>
      <c r="BK71" t="s">
        <v>137</v>
      </c>
      <c r="BL71" t="s">
        <v>95</v>
      </c>
      <c r="BM71">
        <v>7</v>
      </c>
      <c r="BN71"/>
      <c r="BO71"/>
      <c r="BT71" s="122" t="s">
        <v>235</v>
      </c>
      <c r="BU71" s="15" t="s">
        <v>96</v>
      </c>
      <c r="BV71" s="15" t="s">
        <v>429</v>
      </c>
      <c r="BW71" s="15">
        <v>2</v>
      </c>
      <c r="BX71" s="15">
        <v>2.5</v>
      </c>
      <c r="BZ71" s="103" t="s">
        <v>741</v>
      </c>
      <c r="CA71" s="104">
        <v>7</v>
      </c>
      <c r="CB71" s="103" t="s">
        <v>794</v>
      </c>
      <c r="CC71" s="104">
        <v>8</v>
      </c>
      <c r="CD71" s="103" t="s">
        <v>593</v>
      </c>
      <c r="CE71" s="104">
        <v>7.5</v>
      </c>
      <c r="CF71" s="103"/>
      <c r="CG71" s="104"/>
      <c r="CJ71" s="103" t="s">
        <v>497</v>
      </c>
      <c r="CK71" s="9">
        <v>7</v>
      </c>
      <c r="CL71" s="7"/>
      <c r="CM71" s="103"/>
      <c r="CN71" s="104"/>
      <c r="CO71" s="103"/>
      <c r="CP71" s="104"/>
      <c r="CQ71" s="103" t="s">
        <v>658</v>
      </c>
      <c r="CR71" s="104">
        <v>6.5</v>
      </c>
      <c r="CS71" s="103"/>
      <c r="CT71" s="104"/>
      <c r="CU71" s="103" t="s">
        <v>681</v>
      </c>
      <c r="CV71" s="104">
        <v>5</v>
      </c>
      <c r="CW71" s="103" t="s">
        <v>869</v>
      </c>
      <c r="CX71" s="104">
        <v>6.5</v>
      </c>
      <c r="CY71" s="103" t="s">
        <v>378</v>
      </c>
      <c r="CZ71" s="9">
        <v>4.5</v>
      </c>
    </row>
    <row r="72" spans="55:104" ht="33" x14ac:dyDescent="0.2">
      <c r="BC72" s="15" t="s">
        <v>192</v>
      </c>
      <c r="BD72" s="15" t="s">
        <v>106</v>
      </c>
      <c r="BE72" s="15" t="s">
        <v>204</v>
      </c>
      <c r="BF72" s="15">
        <v>1</v>
      </c>
      <c r="BG72" s="15">
        <v>0</v>
      </c>
      <c r="BH72" s="15">
        <v>0</v>
      </c>
      <c r="BJ72" s="131"/>
      <c r="BK72" t="s">
        <v>173</v>
      </c>
      <c r="BL72" t="s">
        <v>95</v>
      </c>
      <c r="BM72">
        <v>7</v>
      </c>
      <c r="BN72"/>
      <c r="BO72"/>
      <c r="BT72" s="122" t="s">
        <v>235</v>
      </c>
      <c r="BU72" s="15" t="s">
        <v>86</v>
      </c>
      <c r="BV72" s="15" t="s">
        <v>429</v>
      </c>
      <c r="BW72" s="15">
        <v>1.5</v>
      </c>
      <c r="BX72" s="15">
        <v>2</v>
      </c>
      <c r="BZ72" s="103" t="s">
        <v>742</v>
      </c>
      <c r="CA72" s="104">
        <v>7</v>
      </c>
      <c r="CB72" s="103" t="s">
        <v>795</v>
      </c>
      <c r="CC72" s="104">
        <v>8</v>
      </c>
      <c r="CD72" s="103" t="s">
        <v>594</v>
      </c>
      <c r="CE72" s="104">
        <v>7.5</v>
      </c>
      <c r="CF72" s="103"/>
      <c r="CG72" s="104"/>
      <c r="CJ72" s="103" t="s">
        <v>1114</v>
      </c>
      <c r="CK72" s="9">
        <v>7</v>
      </c>
      <c r="CL72" s="7"/>
      <c r="CM72" s="103"/>
      <c r="CN72" s="104"/>
      <c r="CO72" s="103"/>
      <c r="CP72" s="104"/>
      <c r="CQ72" s="103" t="s">
        <v>659</v>
      </c>
      <c r="CR72" s="104">
        <v>6.5</v>
      </c>
      <c r="CS72" s="103"/>
      <c r="CT72" s="104"/>
      <c r="CU72" s="103" t="s">
        <v>682</v>
      </c>
      <c r="CV72" s="104">
        <v>5</v>
      </c>
      <c r="CW72" s="103" t="s">
        <v>870</v>
      </c>
      <c r="CX72" s="104">
        <v>6.5</v>
      </c>
      <c r="CY72" s="103" t="s">
        <v>666</v>
      </c>
      <c r="CZ72" s="9">
        <v>4.5</v>
      </c>
    </row>
    <row r="73" spans="55:104" ht="33" x14ac:dyDescent="0.2">
      <c r="BC73" s="15"/>
      <c r="BD73" s="15"/>
      <c r="BE73" s="15"/>
      <c r="BF73" s="15"/>
      <c r="BG73" s="15"/>
      <c r="BH73" s="15"/>
      <c r="BJ73" s="131"/>
      <c r="BK73" t="s">
        <v>281</v>
      </c>
      <c r="BL73" t="s">
        <v>158</v>
      </c>
      <c r="BM73" t="s">
        <v>254</v>
      </c>
      <c r="BN73"/>
      <c r="BO73"/>
      <c r="BT73" s="122" t="s">
        <v>235</v>
      </c>
      <c r="BU73" s="15" t="s">
        <v>96</v>
      </c>
      <c r="BV73" s="15" t="s">
        <v>430</v>
      </c>
      <c r="BW73" s="15">
        <v>2</v>
      </c>
      <c r="BX73" s="15">
        <v>2.5</v>
      </c>
      <c r="BZ73" s="103" t="s">
        <v>743</v>
      </c>
      <c r="CA73" s="104">
        <v>7</v>
      </c>
      <c r="CB73" s="103" t="s">
        <v>796</v>
      </c>
      <c r="CC73" s="104">
        <v>8</v>
      </c>
      <c r="CD73" s="103" t="s">
        <v>595</v>
      </c>
      <c r="CE73" s="104">
        <v>7.5</v>
      </c>
      <c r="CF73" s="103"/>
      <c r="CG73" s="104"/>
      <c r="CJ73" s="103" t="s">
        <v>1115</v>
      </c>
      <c r="CK73" s="9">
        <v>7</v>
      </c>
      <c r="CL73" s="7"/>
      <c r="CM73" s="103"/>
      <c r="CN73" s="104"/>
      <c r="CO73" s="103"/>
      <c r="CP73" s="104"/>
      <c r="CQ73" s="103" t="s">
        <v>660</v>
      </c>
      <c r="CR73" s="104">
        <v>6.5</v>
      </c>
      <c r="CS73" s="103"/>
      <c r="CT73" s="104"/>
      <c r="CU73" s="103" t="s">
        <v>683</v>
      </c>
      <c r="CV73" s="104">
        <v>5</v>
      </c>
      <c r="CW73" s="103" t="s">
        <v>871</v>
      </c>
      <c r="CX73" s="104">
        <v>6.5</v>
      </c>
      <c r="CY73" s="103" t="s">
        <v>342</v>
      </c>
      <c r="CZ73" s="9">
        <v>4.5</v>
      </c>
    </row>
    <row r="74" spans="55:104" ht="33" x14ac:dyDescent="0.2">
      <c r="BC74" s="15"/>
      <c r="BD74" s="15"/>
      <c r="BE74" s="15"/>
      <c r="BF74" s="15"/>
      <c r="BG74" s="15"/>
      <c r="BH74" s="15"/>
      <c r="BJ74" s="131"/>
      <c r="BK74" t="s">
        <v>282</v>
      </c>
      <c r="BL74" t="s">
        <v>158</v>
      </c>
      <c r="BM74">
        <v>4</v>
      </c>
      <c r="BN74"/>
      <c r="BO74"/>
      <c r="BQ74" s="129"/>
      <c r="BT74" s="122" t="s">
        <v>235</v>
      </c>
      <c r="BU74" s="15" t="s">
        <v>86</v>
      </c>
      <c r="BV74" s="15" t="s">
        <v>430</v>
      </c>
      <c r="BW74" s="15">
        <v>1.5</v>
      </c>
      <c r="BX74" s="15">
        <v>2</v>
      </c>
      <c r="BZ74" s="103" t="s">
        <v>744</v>
      </c>
      <c r="CA74" s="104">
        <v>7</v>
      </c>
      <c r="CB74" s="103"/>
      <c r="CC74" s="104"/>
      <c r="CD74" s="103" t="s">
        <v>596</v>
      </c>
      <c r="CE74" s="104">
        <v>7.5</v>
      </c>
      <c r="CF74" s="103"/>
      <c r="CG74" s="104"/>
      <c r="CJ74" s="103" t="s">
        <v>499</v>
      </c>
      <c r="CK74" s="9">
        <v>7</v>
      </c>
      <c r="CL74" s="7"/>
      <c r="CM74" s="103"/>
      <c r="CN74" s="104"/>
      <c r="CO74" s="103"/>
      <c r="CP74" s="104"/>
      <c r="CQ74" s="103" t="s">
        <v>661</v>
      </c>
      <c r="CR74" s="104">
        <v>6.5</v>
      </c>
      <c r="CS74" s="103"/>
      <c r="CT74" s="104"/>
      <c r="CU74" s="103" t="s">
        <v>684</v>
      </c>
      <c r="CV74" s="104">
        <v>5</v>
      </c>
      <c r="CW74" s="103" t="s">
        <v>872</v>
      </c>
      <c r="CX74" s="104">
        <v>6.5</v>
      </c>
      <c r="CY74" s="103" t="s">
        <v>667</v>
      </c>
      <c r="CZ74" s="9">
        <v>4.5</v>
      </c>
    </row>
    <row r="75" spans="55:104" ht="33" x14ac:dyDescent="0.2">
      <c r="BC75" s="15" t="s">
        <v>198</v>
      </c>
      <c r="BD75" s="15" t="s">
        <v>106</v>
      </c>
      <c r="BE75" s="15" t="s">
        <v>195</v>
      </c>
      <c r="BF75" s="15">
        <v>2</v>
      </c>
      <c r="BG75" s="15">
        <v>0</v>
      </c>
      <c r="BH75" s="15">
        <v>0</v>
      </c>
      <c r="BJ75" s="131"/>
      <c r="BK75" t="s">
        <v>283</v>
      </c>
      <c r="BL75" t="s">
        <v>158</v>
      </c>
      <c r="BM75" t="s">
        <v>254</v>
      </c>
      <c r="BN75"/>
      <c r="BO75"/>
      <c r="BT75" s="122" t="s">
        <v>235</v>
      </c>
      <c r="BU75" s="15" t="s">
        <v>96</v>
      </c>
      <c r="BV75" s="15" t="s">
        <v>431</v>
      </c>
      <c r="BW75" s="15">
        <v>2</v>
      </c>
      <c r="BX75" s="15">
        <v>2.5</v>
      </c>
      <c r="BZ75" s="103" t="s">
        <v>745</v>
      </c>
      <c r="CA75" s="104">
        <v>7</v>
      </c>
      <c r="CB75" s="103" t="s">
        <v>803</v>
      </c>
      <c r="CC75" s="104">
        <v>8.5</v>
      </c>
      <c r="CD75" s="103" t="s">
        <v>597</v>
      </c>
      <c r="CE75" s="104">
        <v>7.5</v>
      </c>
      <c r="CF75" s="103"/>
      <c r="CG75" s="104"/>
      <c r="CJ75" s="103" t="s">
        <v>500</v>
      </c>
      <c r="CK75" s="9">
        <v>7</v>
      </c>
      <c r="CL75" s="7"/>
      <c r="CM75" s="103"/>
      <c r="CN75" s="104"/>
      <c r="CO75" s="103"/>
      <c r="CP75" s="104"/>
      <c r="CQ75" s="103" t="s">
        <v>662</v>
      </c>
      <c r="CR75" s="104">
        <v>6.5</v>
      </c>
      <c r="CS75" s="103"/>
      <c r="CT75" s="104"/>
      <c r="CU75" s="103" t="s">
        <v>685</v>
      </c>
      <c r="CV75" s="104">
        <v>5</v>
      </c>
      <c r="CW75" s="103"/>
      <c r="CX75" s="104"/>
      <c r="CY75" s="103" t="s">
        <v>668</v>
      </c>
      <c r="CZ75" s="9">
        <v>4.5</v>
      </c>
    </row>
    <row r="76" spans="55:104" ht="33" x14ac:dyDescent="0.2">
      <c r="BC76" s="15" t="s">
        <v>198</v>
      </c>
      <c r="BD76" s="15" t="s">
        <v>106</v>
      </c>
      <c r="BE76" s="15" t="s">
        <v>197</v>
      </c>
      <c r="BF76" s="15">
        <v>2</v>
      </c>
      <c r="BG76" s="15">
        <v>0</v>
      </c>
      <c r="BH76" s="15">
        <v>0</v>
      </c>
      <c r="BJ76" s="138"/>
      <c r="BK76" t="s">
        <v>156</v>
      </c>
      <c r="BL76" t="s">
        <v>141</v>
      </c>
      <c r="BM76" t="s">
        <v>254</v>
      </c>
      <c r="BN76"/>
      <c r="BO76"/>
      <c r="BT76" s="122" t="s">
        <v>235</v>
      </c>
      <c r="BU76" s="15" t="s">
        <v>86</v>
      </c>
      <c r="BV76" s="15" t="s">
        <v>431</v>
      </c>
      <c r="BW76" s="15">
        <v>1.5</v>
      </c>
      <c r="BX76" s="15">
        <v>2</v>
      </c>
      <c r="BZ76" s="103" t="s">
        <v>409</v>
      </c>
      <c r="CA76" s="104">
        <v>7</v>
      </c>
      <c r="CB76" s="103" t="s">
        <v>804</v>
      </c>
      <c r="CC76" s="104">
        <v>8.5</v>
      </c>
      <c r="CD76" s="103" t="s">
        <v>598</v>
      </c>
      <c r="CE76" s="104">
        <v>7.5</v>
      </c>
      <c r="CF76" s="103"/>
      <c r="CG76" s="104"/>
      <c r="CJ76" s="103"/>
      <c r="CL76" s="7"/>
      <c r="CM76" s="103"/>
      <c r="CN76" s="104"/>
      <c r="CO76" s="103"/>
      <c r="CP76" s="104"/>
      <c r="CQ76" s="103" t="s">
        <v>663</v>
      </c>
      <c r="CR76" s="104">
        <v>6.5</v>
      </c>
      <c r="CS76" s="103"/>
      <c r="CT76" s="104"/>
      <c r="CU76" s="103" t="s">
        <v>686</v>
      </c>
      <c r="CV76" s="104">
        <v>5</v>
      </c>
      <c r="CW76" s="103" t="s">
        <v>900</v>
      </c>
      <c r="CX76" s="104">
        <v>7</v>
      </c>
      <c r="CY76" s="103" t="s">
        <v>669</v>
      </c>
      <c r="CZ76" s="9">
        <v>4.5</v>
      </c>
    </row>
    <row r="77" spans="55:104" ht="33" x14ac:dyDescent="0.2">
      <c r="BC77" s="15" t="s">
        <v>198</v>
      </c>
      <c r="BD77" s="15" t="s">
        <v>106</v>
      </c>
      <c r="BE77" s="15" t="s">
        <v>412</v>
      </c>
      <c r="BF77" s="15">
        <v>2</v>
      </c>
      <c r="BG77" s="15">
        <v>0</v>
      </c>
      <c r="BH77" s="15">
        <v>0</v>
      </c>
      <c r="BJ77" s="131"/>
      <c r="BK77" t="s">
        <v>160</v>
      </c>
      <c r="BL77" t="s">
        <v>141</v>
      </c>
      <c r="BM77" t="s">
        <v>254</v>
      </c>
      <c r="BN77"/>
      <c r="BO77"/>
      <c r="BT77" s="122" t="s">
        <v>235</v>
      </c>
      <c r="BU77" s="15" t="s">
        <v>86</v>
      </c>
      <c r="BV77" s="15" t="s">
        <v>417</v>
      </c>
      <c r="BW77" s="15">
        <v>2.7</v>
      </c>
      <c r="BX77" s="15">
        <v>3.2</v>
      </c>
      <c r="BZ77" s="103" t="s">
        <v>746</v>
      </c>
      <c r="CA77" s="104">
        <v>7</v>
      </c>
      <c r="CB77" s="103" t="s">
        <v>805</v>
      </c>
      <c r="CC77" s="104">
        <v>8.5</v>
      </c>
      <c r="CD77" s="103"/>
      <c r="CE77" s="104"/>
      <c r="CF77" s="103"/>
      <c r="CG77" s="104"/>
      <c r="CJ77" s="103"/>
      <c r="CL77" s="7"/>
      <c r="CM77" s="103"/>
      <c r="CN77" s="104"/>
      <c r="CO77" s="103"/>
      <c r="CP77" s="104"/>
      <c r="CQ77" s="103" t="s">
        <v>664</v>
      </c>
      <c r="CR77" s="104">
        <v>6.5</v>
      </c>
      <c r="CS77" s="103"/>
      <c r="CT77" s="104"/>
      <c r="CU77" s="103" t="s">
        <v>687</v>
      </c>
      <c r="CV77" s="104">
        <v>5</v>
      </c>
      <c r="CW77" s="103" t="s">
        <v>901</v>
      </c>
      <c r="CX77" s="104">
        <v>7</v>
      </c>
      <c r="CY77" s="103" t="s">
        <v>670</v>
      </c>
      <c r="CZ77" s="9">
        <v>4.5</v>
      </c>
    </row>
    <row r="78" spans="55:104" ht="22" x14ac:dyDescent="0.2">
      <c r="BC78" s="15" t="s">
        <v>203</v>
      </c>
      <c r="BD78" s="15" t="s">
        <v>106</v>
      </c>
      <c r="BE78" s="15" t="s">
        <v>414</v>
      </c>
      <c r="BF78" s="15">
        <v>2</v>
      </c>
      <c r="BG78" s="15">
        <v>0</v>
      </c>
      <c r="BH78" s="15">
        <v>0</v>
      </c>
      <c r="BJ78" s="131"/>
      <c r="BK78" t="s">
        <v>146</v>
      </c>
      <c r="BL78" t="s">
        <v>141</v>
      </c>
      <c r="BM78" t="s">
        <v>254</v>
      </c>
      <c r="BN78"/>
      <c r="BO78"/>
      <c r="BT78" s="122" t="s">
        <v>235</v>
      </c>
      <c r="BU78" s="15" t="s">
        <v>106</v>
      </c>
      <c r="BV78" s="15" t="s">
        <v>427</v>
      </c>
      <c r="BW78" s="15">
        <v>2</v>
      </c>
      <c r="BX78" s="15">
        <v>2.5</v>
      </c>
      <c r="BZ78" s="103" t="s">
        <v>402</v>
      </c>
      <c r="CA78" s="104">
        <v>7</v>
      </c>
      <c r="CB78" s="103" t="s">
        <v>398</v>
      </c>
      <c r="CC78" s="104">
        <v>8.5</v>
      </c>
      <c r="CD78" s="103" t="s">
        <v>604</v>
      </c>
      <c r="CE78" s="104">
        <v>8</v>
      </c>
      <c r="CF78" s="103"/>
      <c r="CG78" s="104"/>
      <c r="CL78" s="7"/>
      <c r="CM78" s="103"/>
      <c r="CN78" s="104"/>
      <c r="CO78" s="103"/>
      <c r="CP78" s="104"/>
      <c r="CQ78" s="103" t="s">
        <v>665</v>
      </c>
      <c r="CR78" s="104">
        <v>6.5</v>
      </c>
      <c r="CS78" s="103"/>
      <c r="CT78" s="104"/>
      <c r="CU78" s="103" t="s">
        <v>688</v>
      </c>
      <c r="CV78" s="104">
        <v>5</v>
      </c>
      <c r="CW78" s="103" t="s">
        <v>902</v>
      </c>
      <c r="CX78" s="104">
        <v>7</v>
      </c>
      <c r="CY78" s="103" t="s">
        <v>671</v>
      </c>
      <c r="CZ78" s="9">
        <v>4.5</v>
      </c>
    </row>
    <row r="79" spans="55:104" ht="44" x14ac:dyDescent="0.2">
      <c r="BC79" s="15" t="s">
        <v>198</v>
      </c>
      <c r="BD79" s="15" t="s">
        <v>106</v>
      </c>
      <c r="BE79" s="15" t="s">
        <v>196</v>
      </c>
      <c r="BF79" s="15">
        <v>2</v>
      </c>
      <c r="BG79" s="15">
        <v>0</v>
      </c>
      <c r="BH79" s="15">
        <v>0</v>
      </c>
      <c r="BJ79" s="131"/>
      <c r="BK79" t="s">
        <v>284</v>
      </c>
      <c r="BL79" t="s">
        <v>141</v>
      </c>
      <c r="BM79" t="s">
        <v>254</v>
      </c>
      <c r="BN79"/>
      <c r="BO79"/>
      <c r="BT79" s="130" t="s">
        <v>235</v>
      </c>
      <c r="BU79" s="15" t="s">
        <v>96</v>
      </c>
      <c r="BV79" s="15" t="s">
        <v>427</v>
      </c>
      <c r="BW79" s="15">
        <v>1.5</v>
      </c>
      <c r="BX79" s="15">
        <v>2</v>
      </c>
      <c r="BZ79" s="103" t="s">
        <v>405</v>
      </c>
      <c r="CA79" s="104">
        <v>7</v>
      </c>
      <c r="CB79" s="103" t="s">
        <v>806</v>
      </c>
      <c r="CC79" s="104">
        <v>8.5</v>
      </c>
      <c r="CD79" s="103" t="s">
        <v>605</v>
      </c>
      <c r="CE79" s="104">
        <v>8</v>
      </c>
      <c r="CF79" s="103"/>
      <c r="CG79" s="104"/>
      <c r="CL79" s="7"/>
      <c r="CM79" s="103"/>
      <c r="CN79" s="104"/>
      <c r="CO79" s="103"/>
      <c r="CP79" s="104"/>
      <c r="CQ79" s="103" t="s">
        <v>378</v>
      </c>
      <c r="CR79" s="104">
        <v>6.5</v>
      </c>
      <c r="CS79" s="103"/>
      <c r="CT79" s="104"/>
      <c r="CU79" s="103" t="s">
        <v>689</v>
      </c>
      <c r="CV79" s="104">
        <v>5</v>
      </c>
      <c r="CW79" s="103" t="s">
        <v>903</v>
      </c>
      <c r="CX79" s="104">
        <v>7</v>
      </c>
      <c r="CY79" s="103" t="s">
        <v>672</v>
      </c>
      <c r="CZ79" s="9">
        <v>4.5</v>
      </c>
    </row>
    <row r="80" spans="55:104" ht="33" x14ac:dyDescent="0.2">
      <c r="BC80" s="15" t="s">
        <v>198</v>
      </c>
      <c r="BD80" s="15" t="s">
        <v>106</v>
      </c>
      <c r="BE80" s="15" t="s">
        <v>423</v>
      </c>
      <c r="BF80" s="15">
        <v>2</v>
      </c>
      <c r="BG80" s="15">
        <v>0</v>
      </c>
      <c r="BH80" s="15">
        <v>1</v>
      </c>
      <c r="BJ80" s="131"/>
      <c r="BK80" t="s">
        <v>175</v>
      </c>
      <c r="BL80" t="s">
        <v>141</v>
      </c>
      <c r="BM80" t="s">
        <v>254</v>
      </c>
      <c r="BN80"/>
      <c r="BO80"/>
      <c r="BT80" s="130" t="s">
        <v>235</v>
      </c>
      <c r="BU80" s="15" t="s">
        <v>86</v>
      </c>
      <c r="BV80" s="15" t="s">
        <v>427</v>
      </c>
      <c r="BW80" s="15">
        <v>1</v>
      </c>
      <c r="BX80" s="15">
        <v>1.5</v>
      </c>
      <c r="BZ80" s="103" t="s">
        <v>747</v>
      </c>
      <c r="CA80" s="104">
        <v>7</v>
      </c>
      <c r="CB80" s="103" t="s">
        <v>807</v>
      </c>
      <c r="CC80" s="104">
        <v>8.5</v>
      </c>
      <c r="CD80" s="103" t="s">
        <v>325</v>
      </c>
      <c r="CE80" s="104">
        <v>8</v>
      </c>
      <c r="CF80" s="103"/>
      <c r="CG80" s="104"/>
      <c r="CL80" s="7"/>
      <c r="CM80" s="103"/>
      <c r="CN80" s="104"/>
      <c r="CO80" s="103"/>
      <c r="CP80" s="104"/>
      <c r="CQ80" s="103" t="s">
        <v>666</v>
      </c>
      <c r="CR80" s="104">
        <v>6.5</v>
      </c>
      <c r="CS80" s="103"/>
      <c r="CT80" s="104"/>
      <c r="CU80" s="103"/>
      <c r="CV80" s="104"/>
      <c r="CW80" s="103" t="s">
        <v>904</v>
      </c>
      <c r="CX80" s="104">
        <v>7</v>
      </c>
      <c r="CY80" s="103" t="s">
        <v>673</v>
      </c>
      <c r="CZ80" s="9">
        <v>4.5</v>
      </c>
    </row>
    <row r="81" spans="55:104" ht="33" x14ac:dyDescent="0.2">
      <c r="BC81" s="15" t="s">
        <v>198</v>
      </c>
      <c r="BD81" s="15" t="s">
        <v>106</v>
      </c>
      <c r="BE81" s="15" t="s">
        <v>413</v>
      </c>
      <c r="BF81" s="15">
        <v>2</v>
      </c>
      <c r="BG81" s="15">
        <v>0</v>
      </c>
      <c r="BH81" s="15">
        <v>0</v>
      </c>
      <c r="BJ81" s="131"/>
      <c r="BK81" t="s">
        <v>147</v>
      </c>
      <c r="BL81" t="s">
        <v>141</v>
      </c>
      <c r="BM81" t="s">
        <v>254</v>
      </c>
      <c r="BN81"/>
      <c r="BO81"/>
      <c r="BZ81" s="103" t="s">
        <v>748</v>
      </c>
      <c r="CA81" s="104">
        <v>7</v>
      </c>
      <c r="CB81" s="103" t="s">
        <v>808</v>
      </c>
      <c r="CC81" s="104">
        <v>8.5</v>
      </c>
      <c r="CD81" s="103" t="s">
        <v>606</v>
      </c>
      <c r="CE81" s="104">
        <v>8</v>
      </c>
      <c r="CF81" s="103"/>
      <c r="CG81" s="104"/>
      <c r="CL81" s="7"/>
      <c r="CM81" s="103"/>
      <c r="CN81" s="104"/>
      <c r="CO81" s="103"/>
      <c r="CP81" s="104"/>
      <c r="CQ81" s="103" t="s">
        <v>342</v>
      </c>
      <c r="CR81" s="104">
        <v>6.5</v>
      </c>
      <c r="CS81" s="103"/>
      <c r="CT81" s="104"/>
      <c r="CU81" s="103" t="s">
        <v>701</v>
      </c>
      <c r="CV81" s="104">
        <v>5.5</v>
      </c>
      <c r="CW81" s="103" t="s">
        <v>905</v>
      </c>
      <c r="CX81" s="104">
        <v>7</v>
      </c>
      <c r="CY81" s="103" t="s">
        <v>388</v>
      </c>
      <c r="CZ81" s="9">
        <v>4.5</v>
      </c>
    </row>
    <row r="82" spans="55:104" ht="33" x14ac:dyDescent="0.2">
      <c r="BC82" s="15" t="s">
        <v>202</v>
      </c>
      <c r="BD82" s="15" t="s">
        <v>106</v>
      </c>
      <c r="BE82" s="15" t="s">
        <v>424</v>
      </c>
      <c r="BF82" s="15">
        <v>2.5</v>
      </c>
      <c r="BG82" s="15">
        <v>1</v>
      </c>
      <c r="BH82" s="15">
        <v>0</v>
      </c>
      <c r="BJ82" s="131"/>
      <c r="BK82" t="s">
        <v>285</v>
      </c>
      <c r="BL82" t="s">
        <v>141</v>
      </c>
      <c r="BM82" t="s">
        <v>254</v>
      </c>
      <c r="BN82"/>
      <c r="BO82"/>
      <c r="BZ82" s="103" t="s">
        <v>408</v>
      </c>
      <c r="CA82" s="104">
        <v>7</v>
      </c>
      <c r="CB82" s="103"/>
      <c r="CC82" s="104"/>
      <c r="CD82" s="103" t="s">
        <v>404</v>
      </c>
      <c r="CE82" s="104">
        <v>8</v>
      </c>
      <c r="CF82" s="103"/>
      <c r="CG82" s="104"/>
      <c r="CL82" s="7"/>
      <c r="CM82" s="103"/>
      <c r="CN82" s="104"/>
      <c r="CO82" s="103"/>
      <c r="CP82" s="104"/>
      <c r="CQ82" s="103" t="s">
        <v>667</v>
      </c>
      <c r="CR82" s="104">
        <v>6.5</v>
      </c>
      <c r="CS82" s="103"/>
      <c r="CT82" s="104"/>
      <c r="CU82" s="103" t="s">
        <v>702</v>
      </c>
      <c r="CV82" s="104">
        <v>5.5</v>
      </c>
      <c r="CW82" s="103" t="s">
        <v>906</v>
      </c>
      <c r="CX82" s="104">
        <v>7</v>
      </c>
      <c r="CY82" s="103" t="s">
        <v>674</v>
      </c>
      <c r="CZ82" s="9">
        <v>4.5</v>
      </c>
    </row>
    <row r="83" spans="55:104" ht="33" x14ac:dyDescent="0.2">
      <c r="BC83" s="15" t="s">
        <v>202</v>
      </c>
      <c r="BD83" s="15" t="s">
        <v>106</v>
      </c>
      <c r="BE83" s="15" t="s">
        <v>445</v>
      </c>
      <c r="BF83" s="15">
        <v>2.5</v>
      </c>
      <c r="BG83" s="15">
        <v>1</v>
      </c>
      <c r="BH83" s="15">
        <v>0</v>
      </c>
      <c r="BJ83" s="131"/>
      <c r="BK83" t="s">
        <v>142</v>
      </c>
      <c r="BL83" t="s">
        <v>141</v>
      </c>
      <c r="BM83" t="s">
        <v>254</v>
      </c>
      <c r="BN83"/>
      <c r="BO83"/>
      <c r="BZ83" s="103" t="s">
        <v>749</v>
      </c>
      <c r="CA83" s="104">
        <v>7</v>
      </c>
      <c r="CB83" s="103" t="s">
        <v>818</v>
      </c>
      <c r="CC83" s="104">
        <v>9</v>
      </c>
      <c r="CD83" s="103" t="s">
        <v>404</v>
      </c>
      <c r="CE83" s="104">
        <v>8</v>
      </c>
      <c r="CF83" s="103"/>
      <c r="CG83" s="104"/>
      <c r="CL83" s="7"/>
      <c r="CM83" s="105"/>
      <c r="CN83" s="106"/>
      <c r="CO83" s="105"/>
      <c r="CP83" s="106"/>
      <c r="CQ83" s="103" t="s">
        <v>668</v>
      </c>
      <c r="CR83" s="106">
        <v>6.5</v>
      </c>
      <c r="CS83" s="105"/>
      <c r="CT83" s="106"/>
      <c r="CU83" s="103" t="s">
        <v>703</v>
      </c>
      <c r="CV83" s="106">
        <v>5.5</v>
      </c>
      <c r="CW83" s="105" t="s">
        <v>907</v>
      </c>
      <c r="CX83" s="106">
        <v>7</v>
      </c>
      <c r="CY83" s="103" t="s">
        <v>675</v>
      </c>
      <c r="CZ83" s="9">
        <v>5</v>
      </c>
    </row>
    <row r="84" spans="55:104" ht="22" x14ac:dyDescent="0.2">
      <c r="BC84" s="15" t="s">
        <v>202</v>
      </c>
      <c r="BD84" s="15" t="s">
        <v>106</v>
      </c>
      <c r="BE84" s="15" t="s">
        <v>447</v>
      </c>
      <c r="BF84" s="15">
        <v>2.5</v>
      </c>
      <c r="BG84" s="15">
        <v>1</v>
      </c>
      <c r="BH84" s="15">
        <v>0</v>
      </c>
      <c r="BJ84" s="138"/>
      <c r="BK84" t="s">
        <v>286</v>
      </c>
      <c r="BL84" t="s">
        <v>141</v>
      </c>
      <c r="BM84" t="s">
        <v>254</v>
      </c>
      <c r="BN84"/>
      <c r="BO84"/>
      <c r="BZ84" s="103" t="s">
        <v>750</v>
      </c>
      <c r="CA84" s="104">
        <v>7</v>
      </c>
      <c r="CB84" s="103" t="s">
        <v>819</v>
      </c>
      <c r="CC84" s="104">
        <v>9</v>
      </c>
      <c r="CD84" s="103" t="s">
        <v>607</v>
      </c>
      <c r="CE84" s="104">
        <v>8</v>
      </c>
      <c r="CF84" s="103"/>
      <c r="CG84" s="104"/>
      <c r="CQ84" s="103" t="s">
        <v>669</v>
      </c>
      <c r="CR84" s="9">
        <v>6.5</v>
      </c>
      <c r="CU84" s="103" t="s">
        <v>704</v>
      </c>
      <c r="CV84" s="104">
        <v>5.5</v>
      </c>
      <c r="CW84" s="105" t="s">
        <v>908</v>
      </c>
      <c r="CX84" s="9">
        <v>7</v>
      </c>
      <c r="CY84" s="103" t="s">
        <v>676</v>
      </c>
      <c r="CZ84" s="9">
        <v>5</v>
      </c>
    </row>
    <row r="85" spans="55:104" ht="44" x14ac:dyDescent="0.2">
      <c r="BC85" s="15"/>
      <c r="BD85" s="15"/>
      <c r="BE85" s="16"/>
      <c r="BF85" s="15"/>
      <c r="BG85" s="15"/>
      <c r="BH85" s="15"/>
      <c r="BJ85" s="131"/>
      <c r="BK85" t="s">
        <v>145</v>
      </c>
      <c r="BL85" t="s">
        <v>141</v>
      </c>
      <c r="BM85" t="s">
        <v>254</v>
      </c>
      <c r="BN85"/>
      <c r="BO85"/>
      <c r="BZ85" s="103" t="s">
        <v>751</v>
      </c>
      <c r="CA85" s="104">
        <v>7</v>
      </c>
      <c r="CB85" s="103" t="s">
        <v>820</v>
      </c>
      <c r="CC85" s="104">
        <v>9</v>
      </c>
      <c r="CD85" s="103" t="s">
        <v>608</v>
      </c>
      <c r="CE85" s="104">
        <v>8</v>
      </c>
      <c r="CF85" s="103"/>
      <c r="CG85" s="104"/>
      <c r="CQ85" s="103"/>
      <c r="CU85" s="103" t="s">
        <v>705</v>
      </c>
      <c r="CV85" s="104">
        <v>5.5</v>
      </c>
      <c r="CW85" s="105" t="s">
        <v>909</v>
      </c>
      <c r="CX85" s="9">
        <v>7</v>
      </c>
      <c r="CY85" s="103" t="s">
        <v>677</v>
      </c>
      <c r="CZ85" s="9">
        <v>5</v>
      </c>
    </row>
    <row r="86" spans="55:104" ht="33" x14ac:dyDescent="0.2">
      <c r="BC86" s="15"/>
      <c r="BD86" s="15"/>
      <c r="BE86" s="15"/>
      <c r="BF86" s="15"/>
      <c r="BG86" s="15"/>
      <c r="BH86" s="15"/>
      <c r="BJ86" s="131"/>
      <c r="BK86" t="s">
        <v>451</v>
      </c>
      <c r="BL86" t="s">
        <v>141</v>
      </c>
      <c r="BM86" t="s">
        <v>254</v>
      </c>
      <c r="BN86"/>
      <c r="BO86"/>
      <c r="BZ86" s="103"/>
      <c r="CA86" s="104"/>
      <c r="CB86" s="103" t="s">
        <v>396</v>
      </c>
      <c r="CC86" s="104">
        <v>9</v>
      </c>
      <c r="CD86" s="103"/>
      <c r="CE86" s="104"/>
      <c r="CF86" s="103"/>
      <c r="CG86" s="104"/>
      <c r="CQ86" s="103" t="s">
        <v>675</v>
      </c>
      <c r="CR86" s="9">
        <v>7.5</v>
      </c>
      <c r="CU86" s="103" t="s">
        <v>706</v>
      </c>
      <c r="CV86" s="104">
        <v>5.5</v>
      </c>
      <c r="CW86" s="105" t="s">
        <v>910</v>
      </c>
      <c r="CX86" s="9">
        <v>7</v>
      </c>
      <c r="CY86" s="103" t="s">
        <v>678</v>
      </c>
      <c r="CZ86" s="9">
        <v>5</v>
      </c>
    </row>
    <row r="87" spans="55:104" ht="33" x14ac:dyDescent="0.2">
      <c r="BC87" s="15"/>
      <c r="BD87" s="15"/>
      <c r="BE87" s="15"/>
      <c r="BF87" s="15"/>
      <c r="BG87" s="15"/>
      <c r="BH87" s="15"/>
      <c r="BJ87" s="131"/>
      <c r="BK87" t="s">
        <v>144</v>
      </c>
      <c r="BL87" t="s">
        <v>141</v>
      </c>
      <c r="BM87" t="s">
        <v>254</v>
      </c>
      <c r="BN87"/>
      <c r="BO87"/>
      <c r="BZ87" s="103" t="s">
        <v>760</v>
      </c>
      <c r="CA87" s="104">
        <v>7.5</v>
      </c>
      <c r="CB87" s="103" t="s">
        <v>821</v>
      </c>
      <c r="CC87" s="104">
        <v>9</v>
      </c>
      <c r="CD87" s="103"/>
      <c r="CE87" s="104"/>
      <c r="CF87" s="103"/>
      <c r="CG87" s="104"/>
      <c r="CQ87" s="103" t="s">
        <v>676</v>
      </c>
      <c r="CR87" s="9">
        <v>7.5</v>
      </c>
      <c r="CU87" s="103" t="s">
        <v>707</v>
      </c>
      <c r="CV87" s="104">
        <v>5.5</v>
      </c>
      <c r="CW87" s="105" t="s">
        <v>911</v>
      </c>
      <c r="CX87" s="9">
        <v>7</v>
      </c>
      <c r="CY87" s="103" t="s">
        <v>679</v>
      </c>
      <c r="CZ87" s="9">
        <v>5</v>
      </c>
    </row>
    <row r="88" spans="55:104" ht="33" x14ac:dyDescent="0.2">
      <c r="BC88" s="15"/>
      <c r="BD88" s="15"/>
      <c r="BE88" s="15"/>
      <c r="BF88" s="15"/>
      <c r="BG88" s="15"/>
      <c r="BH88" s="15"/>
      <c r="BJ88" s="131"/>
      <c r="BK88" t="s">
        <v>452</v>
      </c>
      <c r="BL88" t="s">
        <v>141</v>
      </c>
      <c r="BM88" t="s">
        <v>254</v>
      </c>
      <c r="BN88"/>
      <c r="BO88"/>
      <c r="BZ88" s="103" t="s">
        <v>761</v>
      </c>
      <c r="CA88" s="104">
        <v>7.5</v>
      </c>
      <c r="CB88" s="103" t="s">
        <v>394</v>
      </c>
      <c r="CC88" s="104">
        <v>9</v>
      </c>
      <c r="CD88" s="103"/>
      <c r="CE88" s="104"/>
      <c r="CF88" s="103"/>
      <c r="CG88" s="104"/>
      <c r="CQ88" s="103" t="s">
        <v>677</v>
      </c>
      <c r="CR88" s="9">
        <v>7.5</v>
      </c>
      <c r="CU88" s="103" t="s">
        <v>708</v>
      </c>
      <c r="CV88" s="9">
        <v>5.5</v>
      </c>
      <c r="CW88" s="105" t="s">
        <v>912</v>
      </c>
      <c r="CX88" s="9">
        <v>7</v>
      </c>
      <c r="CY88" s="103" t="s">
        <v>680</v>
      </c>
      <c r="CZ88" s="9">
        <v>5</v>
      </c>
    </row>
    <row r="89" spans="55:104" ht="33" x14ac:dyDescent="0.2">
      <c r="BC89" s="15"/>
      <c r="BD89" s="15"/>
      <c r="BE89" s="15"/>
      <c r="BF89" s="15"/>
      <c r="BG89" s="15"/>
      <c r="BH89" s="15"/>
      <c r="BJ89" s="131"/>
      <c r="BK89" t="s">
        <v>151</v>
      </c>
      <c r="BL89" t="s">
        <v>141</v>
      </c>
      <c r="BM89" t="s">
        <v>254</v>
      </c>
      <c r="BN89"/>
      <c r="BO89"/>
      <c r="BZ89" s="103" t="s">
        <v>762</v>
      </c>
      <c r="CA89" s="104">
        <v>7.5</v>
      </c>
      <c r="CB89" s="103" t="s">
        <v>822</v>
      </c>
      <c r="CC89" s="104">
        <v>9</v>
      </c>
      <c r="CD89" s="103"/>
      <c r="CE89" s="104"/>
      <c r="CF89" s="103"/>
      <c r="CG89" s="104"/>
      <c r="CQ89" s="103" t="s">
        <v>678</v>
      </c>
      <c r="CR89" s="9">
        <v>7.5</v>
      </c>
      <c r="CU89" s="103" t="s">
        <v>709</v>
      </c>
      <c r="CV89" s="9">
        <v>5.5</v>
      </c>
      <c r="CW89" s="105" t="s">
        <v>913</v>
      </c>
      <c r="CX89" s="9">
        <v>7</v>
      </c>
      <c r="CY89" s="103" t="s">
        <v>681</v>
      </c>
      <c r="CZ89" s="9">
        <v>5</v>
      </c>
    </row>
    <row r="90" spans="55:104" ht="33" x14ac:dyDescent="0.2">
      <c r="BC90" s="15"/>
      <c r="BD90" s="15"/>
      <c r="BE90" s="15"/>
      <c r="BF90" s="15"/>
      <c r="BG90" s="15"/>
      <c r="BH90" s="15"/>
      <c r="BJ90" s="131"/>
      <c r="BK90" s="19" t="s">
        <v>287</v>
      </c>
      <c r="BL90" t="s">
        <v>141</v>
      </c>
      <c r="BM90" t="s">
        <v>254</v>
      </c>
      <c r="BN90"/>
      <c r="BO90"/>
      <c r="BZ90" s="103" t="s">
        <v>401</v>
      </c>
      <c r="CA90" s="104">
        <v>7.5</v>
      </c>
      <c r="CB90" s="103"/>
      <c r="CC90" s="104"/>
      <c r="CD90" s="103"/>
      <c r="CE90" s="104"/>
      <c r="CF90" s="103"/>
      <c r="CG90" s="104"/>
      <c r="CQ90" s="103" t="s">
        <v>679</v>
      </c>
      <c r="CR90" s="9">
        <v>7.5</v>
      </c>
      <c r="CU90" s="103" t="s">
        <v>710</v>
      </c>
      <c r="CV90" s="9">
        <v>5.5</v>
      </c>
      <c r="CW90" s="105" t="s">
        <v>914</v>
      </c>
      <c r="CX90" s="9">
        <v>7</v>
      </c>
      <c r="CY90" s="103" t="s">
        <v>682</v>
      </c>
      <c r="CZ90" s="9">
        <v>5</v>
      </c>
    </row>
    <row r="91" spans="55:104" ht="33" x14ac:dyDescent="0.2">
      <c r="BC91" s="15"/>
      <c r="BD91" s="15"/>
      <c r="BE91" s="15"/>
      <c r="BF91" s="15"/>
      <c r="BG91" s="15"/>
      <c r="BH91" s="15"/>
      <c r="BJ91" s="15"/>
      <c r="BK91" t="s">
        <v>1094</v>
      </c>
      <c r="BL91" t="s">
        <v>141</v>
      </c>
      <c r="BM91" t="s">
        <v>254</v>
      </c>
      <c r="BN91"/>
      <c r="BO91"/>
      <c r="BZ91" s="103" t="s">
        <v>763</v>
      </c>
      <c r="CA91" s="104">
        <v>7.5</v>
      </c>
      <c r="CB91" s="103"/>
      <c r="CC91" s="104"/>
      <c r="CD91" s="103"/>
      <c r="CE91" s="104"/>
      <c r="CF91" s="103"/>
      <c r="CG91" s="104"/>
      <c r="CQ91" s="103" t="s">
        <v>680</v>
      </c>
      <c r="CR91" s="9">
        <v>7.5</v>
      </c>
      <c r="CU91" s="103" t="s">
        <v>711</v>
      </c>
      <c r="CV91" s="9">
        <v>5.5</v>
      </c>
      <c r="CW91" s="105"/>
      <c r="CY91" s="103" t="s">
        <v>683</v>
      </c>
      <c r="CZ91" s="9">
        <v>5</v>
      </c>
    </row>
    <row r="92" spans="55:104" ht="22" x14ac:dyDescent="0.2">
      <c r="BJ92" s="131"/>
      <c r="BK92" t="s">
        <v>288</v>
      </c>
      <c r="BL92" t="s">
        <v>141</v>
      </c>
      <c r="BM92" t="s">
        <v>254</v>
      </c>
      <c r="BN92"/>
      <c r="BO92"/>
      <c r="BZ92" s="103" t="s">
        <v>764</v>
      </c>
      <c r="CA92" s="104">
        <v>7.5</v>
      </c>
      <c r="CB92" s="103"/>
      <c r="CC92" s="104"/>
      <c r="CD92" s="103"/>
      <c r="CE92" s="104"/>
      <c r="CF92" s="103"/>
      <c r="CG92" s="104"/>
      <c r="CQ92" s="103" t="s">
        <v>681</v>
      </c>
      <c r="CR92" s="9">
        <v>7.5</v>
      </c>
      <c r="CU92" s="103" t="s">
        <v>712</v>
      </c>
      <c r="CV92" s="9">
        <v>5.5</v>
      </c>
      <c r="CW92" s="105" t="s">
        <v>945</v>
      </c>
      <c r="CX92" s="9">
        <v>7.5</v>
      </c>
      <c r="CY92" s="103" t="s">
        <v>684</v>
      </c>
      <c r="CZ92" s="9">
        <v>5</v>
      </c>
    </row>
    <row r="93" spans="55:104" ht="33" x14ac:dyDescent="0.2">
      <c r="BJ93" s="131"/>
      <c r="BK93" t="s">
        <v>157</v>
      </c>
      <c r="BL93" t="s">
        <v>158</v>
      </c>
      <c r="BM93" t="s">
        <v>254</v>
      </c>
      <c r="BN93"/>
      <c r="BO93"/>
      <c r="BZ93" s="103" t="s">
        <v>765</v>
      </c>
      <c r="CA93" s="104">
        <v>7.5</v>
      </c>
      <c r="CB93" s="103"/>
      <c r="CC93" s="104"/>
      <c r="CD93" s="103"/>
      <c r="CE93" s="104"/>
      <c r="CF93" s="103"/>
      <c r="CG93" s="104"/>
      <c r="CQ93" s="103" t="s">
        <v>682</v>
      </c>
      <c r="CR93" s="9">
        <v>7.5</v>
      </c>
      <c r="CU93" s="103" t="s">
        <v>713</v>
      </c>
      <c r="CV93" s="9">
        <v>5.5</v>
      </c>
      <c r="CW93" s="105" t="s">
        <v>946</v>
      </c>
      <c r="CX93" s="9">
        <v>7.5</v>
      </c>
      <c r="CY93" s="103" t="s">
        <v>685</v>
      </c>
      <c r="CZ93" s="9">
        <v>5</v>
      </c>
    </row>
    <row r="94" spans="55:104" ht="33" x14ac:dyDescent="0.2">
      <c r="BJ94" s="138"/>
      <c r="BK94" t="s">
        <v>154</v>
      </c>
      <c r="BL94" t="s">
        <v>141</v>
      </c>
      <c r="BM94" t="s">
        <v>254</v>
      </c>
      <c r="BN94"/>
      <c r="BO94"/>
      <c r="BZ94" s="103" t="s">
        <v>766</v>
      </c>
      <c r="CA94" s="104">
        <v>7.5</v>
      </c>
      <c r="CB94" s="103"/>
      <c r="CC94" s="104"/>
      <c r="CD94" s="103"/>
      <c r="CE94" s="104"/>
      <c r="CF94" s="103"/>
      <c r="CG94" s="104"/>
      <c r="CQ94" s="103" t="s">
        <v>683</v>
      </c>
      <c r="CR94" s="9">
        <v>7.5</v>
      </c>
      <c r="CU94" s="103" t="s">
        <v>714</v>
      </c>
      <c r="CV94" s="9">
        <v>5.5</v>
      </c>
      <c r="CW94" s="105" t="s">
        <v>947</v>
      </c>
      <c r="CX94" s="9">
        <v>7.5</v>
      </c>
      <c r="CY94" s="103" t="s">
        <v>686</v>
      </c>
      <c r="CZ94" s="9">
        <v>5</v>
      </c>
    </row>
    <row r="95" spans="55:104" ht="22" x14ac:dyDescent="0.2">
      <c r="BJ95" s="131"/>
      <c r="BK95" t="s">
        <v>148</v>
      </c>
      <c r="BL95" t="s">
        <v>141</v>
      </c>
      <c r="BM95" t="s">
        <v>254</v>
      </c>
      <c r="BN95"/>
      <c r="BO95"/>
      <c r="BZ95" s="103" t="s">
        <v>767</v>
      </c>
      <c r="CA95" s="9">
        <v>7.5</v>
      </c>
      <c r="CD95" s="103"/>
      <c r="CE95" s="104"/>
      <c r="CF95" s="103"/>
      <c r="CG95" s="104"/>
      <c r="CQ95" s="103" t="s">
        <v>684</v>
      </c>
      <c r="CR95" s="9">
        <v>7.5</v>
      </c>
      <c r="CW95" s="105" t="s">
        <v>948</v>
      </c>
      <c r="CX95" s="9">
        <v>7.5</v>
      </c>
      <c r="CY95" s="103" t="s">
        <v>687</v>
      </c>
      <c r="CZ95" s="9">
        <v>5</v>
      </c>
    </row>
    <row r="96" spans="55:104" ht="33" x14ac:dyDescent="0.2">
      <c r="BJ96" s="131"/>
      <c r="BK96" t="s">
        <v>159</v>
      </c>
      <c r="BL96" t="s">
        <v>141</v>
      </c>
      <c r="BM96" t="s">
        <v>254</v>
      </c>
      <c r="BN96"/>
      <c r="BO96"/>
      <c r="BZ96" s="103"/>
      <c r="CD96" s="103"/>
      <c r="CE96" s="104"/>
      <c r="CF96" s="103"/>
      <c r="CG96" s="104"/>
      <c r="CQ96" s="103" t="s">
        <v>685</v>
      </c>
      <c r="CR96" s="9">
        <v>7.5</v>
      </c>
      <c r="CU96" s="103" t="s">
        <v>826</v>
      </c>
      <c r="CV96" s="9">
        <v>6.5</v>
      </c>
      <c r="CW96" s="105" t="s">
        <v>949</v>
      </c>
      <c r="CX96" s="9">
        <v>7.5</v>
      </c>
      <c r="CY96" s="103" t="s">
        <v>688</v>
      </c>
      <c r="CZ96" s="9">
        <v>5</v>
      </c>
    </row>
    <row r="97" spans="57:104" ht="33" x14ac:dyDescent="0.2">
      <c r="BJ97" s="11"/>
      <c r="BK97" s="11" t="s">
        <v>1098</v>
      </c>
      <c r="BL97" s="9" t="s">
        <v>141</v>
      </c>
      <c r="BM97" s="9">
        <v>2</v>
      </c>
      <c r="BZ97" s="103" t="s">
        <v>775</v>
      </c>
      <c r="CA97" s="9">
        <v>8</v>
      </c>
      <c r="CD97" s="103"/>
      <c r="CE97" s="104"/>
      <c r="CF97" s="103"/>
      <c r="CG97" s="104"/>
      <c r="CQ97" s="103" t="s">
        <v>686</v>
      </c>
      <c r="CR97" s="9">
        <v>7.5</v>
      </c>
      <c r="CU97" s="103" t="s">
        <v>827</v>
      </c>
      <c r="CV97" s="9">
        <v>6.5</v>
      </c>
      <c r="CW97" s="105" t="s">
        <v>950</v>
      </c>
      <c r="CX97" s="9">
        <v>7.5</v>
      </c>
      <c r="CY97" s="103" t="s">
        <v>689</v>
      </c>
      <c r="CZ97" s="9">
        <v>5</v>
      </c>
    </row>
    <row r="98" spans="57:104" ht="33" x14ac:dyDescent="0.2">
      <c r="BJ98" s="138"/>
      <c r="BK98" s="11" t="s">
        <v>1099</v>
      </c>
      <c r="BL98" s="9" t="s">
        <v>158</v>
      </c>
      <c r="BM98" s="9">
        <v>4</v>
      </c>
      <c r="BZ98" s="103" t="s">
        <v>776</v>
      </c>
      <c r="CA98" s="9">
        <v>8</v>
      </c>
      <c r="CD98" s="103"/>
      <c r="CE98" s="104"/>
      <c r="CF98" s="103"/>
      <c r="CG98" s="104"/>
      <c r="CQ98" s="103" t="s">
        <v>687</v>
      </c>
      <c r="CR98" s="9">
        <v>7.5</v>
      </c>
      <c r="CU98" s="103" t="s">
        <v>828</v>
      </c>
      <c r="CV98" s="9">
        <v>6.5</v>
      </c>
      <c r="CW98" s="105" t="s">
        <v>951</v>
      </c>
      <c r="CX98" s="9">
        <v>7.5</v>
      </c>
      <c r="CY98" s="103" t="s">
        <v>690</v>
      </c>
      <c r="CZ98" s="9">
        <v>5</v>
      </c>
    </row>
    <row r="99" spans="57:104" ht="33" x14ac:dyDescent="0.2">
      <c r="BJ99" s="11"/>
      <c r="BK99" s="11"/>
      <c r="BZ99" s="103" t="s">
        <v>407</v>
      </c>
      <c r="CA99" s="9">
        <v>8</v>
      </c>
      <c r="CD99" s="103"/>
      <c r="CE99" s="104"/>
      <c r="CF99" s="103"/>
      <c r="CG99" s="104"/>
      <c r="CQ99" s="103" t="s">
        <v>688</v>
      </c>
      <c r="CR99" s="9">
        <v>7.5</v>
      </c>
      <c r="CU99" s="103" t="s">
        <v>829</v>
      </c>
      <c r="CV99" s="9">
        <v>6.5</v>
      </c>
      <c r="CW99" s="105" t="s">
        <v>952</v>
      </c>
      <c r="CX99" s="9">
        <v>7.5</v>
      </c>
      <c r="CY99" s="103" t="s">
        <v>691</v>
      </c>
      <c r="CZ99" s="9">
        <v>5</v>
      </c>
    </row>
    <row r="100" spans="57:104" ht="33" x14ac:dyDescent="0.2">
      <c r="BJ100" s="132"/>
      <c r="BK100" s="11"/>
      <c r="BZ100" s="103" t="s">
        <v>777</v>
      </c>
      <c r="CA100" s="9">
        <v>8</v>
      </c>
      <c r="CD100" s="103"/>
      <c r="CE100" s="104"/>
      <c r="CF100" s="103"/>
      <c r="CG100" s="104"/>
      <c r="CQ100" s="103" t="s">
        <v>689</v>
      </c>
      <c r="CR100" s="9">
        <v>7.5</v>
      </c>
      <c r="CU100" s="103" t="s">
        <v>830</v>
      </c>
      <c r="CV100" s="9">
        <v>6.5</v>
      </c>
      <c r="CW100" s="105" t="s">
        <v>953</v>
      </c>
      <c r="CX100" s="9">
        <v>7.5</v>
      </c>
      <c r="CY100" s="103" t="s">
        <v>692</v>
      </c>
      <c r="CZ100" s="9">
        <v>5</v>
      </c>
    </row>
    <row r="101" spans="57:104" ht="22" x14ac:dyDescent="0.2">
      <c r="BK101" s="11"/>
      <c r="BZ101" s="103" t="s">
        <v>778</v>
      </c>
      <c r="CA101" s="9">
        <v>8</v>
      </c>
      <c r="CD101" s="103"/>
      <c r="CE101" s="104"/>
      <c r="CF101" s="103"/>
      <c r="CG101" s="104"/>
      <c r="CQ101" s="103"/>
      <c r="CU101" s="103" t="s">
        <v>831</v>
      </c>
      <c r="CV101" s="9">
        <v>6.5</v>
      </c>
      <c r="CW101" s="105" t="s">
        <v>954</v>
      </c>
      <c r="CX101" s="9">
        <v>7.5</v>
      </c>
      <c r="CY101" s="103" t="s">
        <v>343</v>
      </c>
      <c r="CZ101" s="9">
        <v>5</v>
      </c>
    </row>
    <row r="102" spans="57:104" ht="33" x14ac:dyDescent="0.2">
      <c r="BK102" s="11"/>
      <c r="BZ102" s="103" t="s">
        <v>779</v>
      </c>
      <c r="CA102" s="9">
        <v>8</v>
      </c>
      <c r="CD102" s="103"/>
      <c r="CE102" s="104"/>
      <c r="CF102" s="103"/>
      <c r="CG102" s="104"/>
      <c r="CQ102" s="103" t="s">
        <v>701</v>
      </c>
      <c r="CR102" s="9">
        <v>8</v>
      </c>
      <c r="CU102" s="103" t="s">
        <v>832</v>
      </c>
      <c r="CV102" s="9">
        <v>6.5</v>
      </c>
      <c r="CW102" s="105" t="s">
        <v>955</v>
      </c>
      <c r="CX102" s="9">
        <v>7.5</v>
      </c>
      <c r="CY102" s="103" t="s">
        <v>693</v>
      </c>
      <c r="CZ102" s="9">
        <v>5</v>
      </c>
    </row>
    <row r="103" spans="57:104" ht="22" x14ac:dyDescent="0.2">
      <c r="BJ103" s="11"/>
      <c r="BK103" s="11"/>
      <c r="BZ103" s="103" t="s">
        <v>780</v>
      </c>
      <c r="CA103" s="9">
        <v>8</v>
      </c>
      <c r="CD103" s="103"/>
      <c r="CE103" s="104"/>
      <c r="CF103" s="103"/>
      <c r="CG103" s="104"/>
      <c r="CQ103" s="103" t="s">
        <v>702</v>
      </c>
      <c r="CR103" s="9">
        <v>8</v>
      </c>
      <c r="CU103" s="103" t="s">
        <v>833</v>
      </c>
      <c r="CV103" s="9">
        <v>6.5</v>
      </c>
      <c r="CW103" s="105" t="s">
        <v>956</v>
      </c>
      <c r="CX103" s="9">
        <v>7.5</v>
      </c>
      <c r="CY103" s="103" t="s">
        <v>694</v>
      </c>
      <c r="CZ103" s="9">
        <v>5</v>
      </c>
    </row>
    <row r="104" spans="57:104" ht="22" x14ac:dyDescent="0.2">
      <c r="BJ104" s="131"/>
      <c r="BK104" s="11"/>
      <c r="BZ104" s="103" t="s">
        <v>403</v>
      </c>
      <c r="CA104" s="9">
        <v>8</v>
      </c>
      <c r="CD104" s="103"/>
      <c r="CE104" s="104"/>
      <c r="CF104" s="103"/>
      <c r="CG104" s="104"/>
      <c r="CQ104" s="103" t="s">
        <v>829</v>
      </c>
      <c r="CR104" s="9">
        <v>8</v>
      </c>
      <c r="CU104" s="103" t="s">
        <v>834</v>
      </c>
      <c r="CV104" s="9">
        <v>6.5</v>
      </c>
      <c r="CW104" s="105" t="s">
        <v>957</v>
      </c>
      <c r="CX104" s="9">
        <v>7.5</v>
      </c>
      <c r="CY104" s="103" t="s">
        <v>695</v>
      </c>
      <c r="CZ104" s="9">
        <v>5</v>
      </c>
    </row>
    <row r="105" spans="57:104" ht="33" x14ac:dyDescent="0.2">
      <c r="BJ105" s="11"/>
      <c r="BK105" s="11"/>
      <c r="BZ105" s="103" t="s">
        <v>781</v>
      </c>
      <c r="CA105" s="9">
        <v>8</v>
      </c>
      <c r="CD105" s="103"/>
      <c r="CE105" s="104"/>
      <c r="CF105" s="103"/>
      <c r="CG105" s="104"/>
      <c r="CQ105" s="103" t="s">
        <v>703</v>
      </c>
      <c r="CR105" s="9">
        <v>8</v>
      </c>
      <c r="CU105" s="103" t="s">
        <v>835</v>
      </c>
      <c r="CV105" s="9">
        <v>6.5</v>
      </c>
      <c r="CW105" s="105" t="s">
        <v>958</v>
      </c>
      <c r="CX105" s="9">
        <v>7.5</v>
      </c>
      <c r="CY105" s="103" t="s">
        <v>696</v>
      </c>
      <c r="CZ105" s="9">
        <v>5</v>
      </c>
    </row>
    <row r="106" spans="57:104" ht="33" x14ac:dyDescent="0.2">
      <c r="BE106" s="1"/>
      <c r="BJ106" s="15"/>
      <c r="BK106" s="11"/>
      <c r="BZ106" s="103" t="s">
        <v>782</v>
      </c>
      <c r="CA106" s="9">
        <v>8</v>
      </c>
      <c r="CD106" s="103"/>
      <c r="CE106" s="104"/>
      <c r="CF106" s="103"/>
      <c r="CG106" s="104"/>
      <c r="CQ106" s="103" t="s">
        <v>704</v>
      </c>
      <c r="CR106" s="9">
        <v>8</v>
      </c>
      <c r="CU106" s="103" t="s">
        <v>836</v>
      </c>
      <c r="CV106" s="9">
        <v>6.5</v>
      </c>
      <c r="CW106" s="105" t="s">
        <v>959</v>
      </c>
      <c r="CX106" s="9">
        <v>7.5</v>
      </c>
      <c r="CY106" s="103" t="s">
        <v>697</v>
      </c>
      <c r="CZ106" s="9">
        <v>5</v>
      </c>
    </row>
    <row r="107" spans="57:104" ht="44" x14ac:dyDescent="0.2">
      <c r="BE107" s="1"/>
      <c r="BJ107" s="131"/>
      <c r="BK107" s="11"/>
      <c r="BZ107" s="103" t="s">
        <v>783</v>
      </c>
      <c r="CA107" s="9">
        <v>8</v>
      </c>
      <c r="CD107" s="103"/>
      <c r="CE107" s="104"/>
      <c r="CF107" s="103"/>
      <c r="CG107" s="104"/>
      <c r="CQ107" s="103" t="s">
        <v>705</v>
      </c>
      <c r="CR107" s="9">
        <v>8</v>
      </c>
      <c r="CU107" s="103" t="s">
        <v>837</v>
      </c>
      <c r="CV107" s="9">
        <v>6.5</v>
      </c>
      <c r="CW107" s="105" t="s">
        <v>960</v>
      </c>
      <c r="CX107" s="9">
        <v>7.5</v>
      </c>
      <c r="CY107" s="103" t="s">
        <v>698</v>
      </c>
      <c r="CZ107" s="9">
        <v>5</v>
      </c>
    </row>
    <row r="108" spans="57:104" ht="44" x14ac:dyDescent="0.2">
      <c r="BE108" s="1"/>
      <c r="BJ108" s="11"/>
      <c r="BK108" s="11"/>
      <c r="BS108" s="1"/>
      <c r="BZ108" s="103" t="s">
        <v>784</v>
      </c>
      <c r="CA108" s="9">
        <v>8</v>
      </c>
      <c r="CD108" s="103"/>
      <c r="CE108" s="104"/>
      <c r="CF108" s="103"/>
      <c r="CG108" s="104"/>
      <c r="CQ108" s="103" t="s">
        <v>706</v>
      </c>
      <c r="CR108" s="9">
        <v>8</v>
      </c>
      <c r="CU108" s="103" t="s">
        <v>838</v>
      </c>
      <c r="CV108" s="9">
        <v>6.5</v>
      </c>
      <c r="CW108" s="105" t="s">
        <v>961</v>
      </c>
      <c r="CX108" s="9">
        <v>7.5</v>
      </c>
      <c r="CY108" s="103" t="s">
        <v>699</v>
      </c>
      <c r="CZ108" s="9">
        <v>5</v>
      </c>
    </row>
    <row r="109" spans="57:104" ht="33" x14ac:dyDescent="0.2">
      <c r="BJ109" s="11"/>
      <c r="BK109" s="11"/>
      <c r="BS109" s="1"/>
      <c r="BZ109" s="103" t="s">
        <v>785</v>
      </c>
      <c r="CA109" s="9">
        <v>8</v>
      </c>
      <c r="CD109" s="103"/>
      <c r="CE109" s="104"/>
      <c r="CF109" s="103"/>
      <c r="CG109" s="104"/>
      <c r="CQ109" s="103" t="s">
        <v>707</v>
      </c>
      <c r="CR109" s="9">
        <v>8</v>
      </c>
      <c r="CU109" s="103" t="s">
        <v>839</v>
      </c>
      <c r="CV109" s="9">
        <v>6.5</v>
      </c>
      <c r="CW109" s="105" t="s">
        <v>962</v>
      </c>
      <c r="CX109" s="9">
        <v>7.5</v>
      </c>
      <c r="CY109" s="103" t="s">
        <v>700</v>
      </c>
      <c r="CZ109" s="9">
        <v>5</v>
      </c>
    </row>
    <row r="110" spans="57:104" ht="33" x14ac:dyDescent="0.2">
      <c r="BJ110" s="11"/>
      <c r="BK110" s="11"/>
      <c r="BQ110" s="1"/>
      <c r="BZ110" s="103" t="s">
        <v>786</v>
      </c>
      <c r="CA110" s="9">
        <v>8</v>
      </c>
      <c r="CD110" s="103"/>
      <c r="CE110" s="104"/>
      <c r="CF110" s="103"/>
      <c r="CG110" s="104"/>
      <c r="CQ110" s="103" t="s">
        <v>708</v>
      </c>
      <c r="CR110" s="9">
        <v>8</v>
      </c>
      <c r="CU110" s="103" t="s">
        <v>840</v>
      </c>
      <c r="CV110" s="9">
        <v>6.5</v>
      </c>
      <c r="CW110" s="105" t="s">
        <v>963</v>
      </c>
      <c r="CX110" s="9">
        <v>7.5</v>
      </c>
      <c r="CY110" s="103" t="s">
        <v>701</v>
      </c>
      <c r="CZ110" s="9">
        <v>5.5</v>
      </c>
    </row>
    <row r="111" spans="57:104" ht="22" x14ac:dyDescent="0.2">
      <c r="BJ111" s="11"/>
      <c r="BK111" s="11"/>
      <c r="BZ111" s="103"/>
      <c r="CD111" s="103"/>
      <c r="CE111" s="104"/>
      <c r="CF111" s="103"/>
      <c r="CG111" s="104"/>
      <c r="CQ111" s="103" t="s">
        <v>709</v>
      </c>
      <c r="CR111" s="9">
        <v>8</v>
      </c>
      <c r="CU111" s="103" t="s">
        <v>841</v>
      </c>
      <c r="CV111" s="9">
        <v>6.5</v>
      </c>
      <c r="CW111" s="105" t="s">
        <v>987</v>
      </c>
      <c r="CX111" s="9">
        <v>8</v>
      </c>
      <c r="CY111" s="103" t="s">
        <v>702</v>
      </c>
      <c r="CZ111" s="9">
        <v>5.5</v>
      </c>
    </row>
    <row r="112" spans="57:104" ht="22" x14ac:dyDescent="0.2">
      <c r="BJ112" s="11"/>
      <c r="BK112" s="11"/>
      <c r="BZ112" s="103" t="s">
        <v>797</v>
      </c>
      <c r="CA112" s="9">
        <v>8.5</v>
      </c>
      <c r="CD112" s="103"/>
      <c r="CE112" s="104"/>
      <c r="CF112" s="103"/>
      <c r="CG112" s="104"/>
      <c r="CQ112" s="103" t="s">
        <v>710</v>
      </c>
      <c r="CR112" s="9">
        <v>8</v>
      </c>
      <c r="CU112" s="103" t="s">
        <v>842</v>
      </c>
      <c r="CV112" s="9">
        <v>6.5</v>
      </c>
      <c r="CW112" s="105" t="s">
        <v>988</v>
      </c>
      <c r="CX112" s="9">
        <v>8</v>
      </c>
      <c r="CY112" s="103" t="s">
        <v>703</v>
      </c>
      <c r="CZ112" s="9">
        <v>5.5</v>
      </c>
    </row>
    <row r="113" spans="62:104" ht="33" x14ac:dyDescent="0.2">
      <c r="BJ113" s="12"/>
      <c r="BK113" s="11"/>
      <c r="BZ113" s="103" t="s">
        <v>798</v>
      </c>
      <c r="CA113" s="9">
        <v>8.5</v>
      </c>
      <c r="CD113" s="103"/>
      <c r="CE113" s="104"/>
      <c r="CF113" s="103"/>
      <c r="CG113" s="104"/>
      <c r="CQ113" s="103" t="s">
        <v>711</v>
      </c>
      <c r="CR113" s="9">
        <v>8</v>
      </c>
      <c r="CU113" s="103" t="s">
        <v>843</v>
      </c>
      <c r="CV113" s="9">
        <v>6.5</v>
      </c>
      <c r="CW113" s="105" t="s">
        <v>989</v>
      </c>
      <c r="CX113" s="9">
        <v>8</v>
      </c>
      <c r="CY113" s="103" t="s">
        <v>704</v>
      </c>
      <c r="CZ113" s="9">
        <v>5.5</v>
      </c>
    </row>
    <row r="114" spans="62:104" ht="33" x14ac:dyDescent="0.2">
      <c r="BJ114" s="12"/>
      <c r="BK114" s="11"/>
      <c r="BZ114" s="103" t="s">
        <v>799</v>
      </c>
      <c r="CA114" s="9">
        <v>8.5</v>
      </c>
      <c r="CD114" s="103"/>
      <c r="CE114" s="104"/>
      <c r="CF114" s="103"/>
      <c r="CG114" s="104"/>
      <c r="CQ114" s="103" t="s">
        <v>712</v>
      </c>
      <c r="CR114" s="9">
        <v>8</v>
      </c>
      <c r="CU114" s="103" t="s">
        <v>844</v>
      </c>
      <c r="CV114" s="9">
        <v>6.5</v>
      </c>
      <c r="CW114" s="105" t="s">
        <v>990</v>
      </c>
      <c r="CX114" s="9">
        <v>8</v>
      </c>
      <c r="CY114" s="103" t="s">
        <v>705</v>
      </c>
      <c r="CZ114" s="9">
        <v>5.5</v>
      </c>
    </row>
    <row r="115" spans="62:104" ht="33" x14ac:dyDescent="0.2">
      <c r="BJ115" s="11"/>
      <c r="BK115" s="11"/>
      <c r="BZ115" s="103" t="s">
        <v>800</v>
      </c>
      <c r="CA115" s="9">
        <v>8.5</v>
      </c>
      <c r="CD115" s="103"/>
      <c r="CE115" s="104"/>
      <c r="CF115" s="103"/>
      <c r="CG115" s="104"/>
      <c r="CQ115" s="103" t="s">
        <v>713</v>
      </c>
      <c r="CR115" s="9">
        <v>8</v>
      </c>
      <c r="CU115" s="103" t="s">
        <v>845</v>
      </c>
      <c r="CV115" s="9">
        <v>6.5</v>
      </c>
      <c r="CW115" s="105" t="s">
        <v>991</v>
      </c>
      <c r="CX115" s="9">
        <v>8</v>
      </c>
      <c r="CY115" s="103" t="s">
        <v>706</v>
      </c>
      <c r="CZ115" s="9">
        <v>5.5</v>
      </c>
    </row>
    <row r="116" spans="62:104" ht="33" x14ac:dyDescent="0.2">
      <c r="BJ116" s="11"/>
      <c r="BK116" s="11"/>
      <c r="BZ116" s="103" t="s">
        <v>801</v>
      </c>
      <c r="CA116" s="9">
        <v>8.5</v>
      </c>
      <c r="CD116" s="103"/>
      <c r="CE116" s="104"/>
      <c r="CF116" s="103"/>
      <c r="CG116" s="104"/>
      <c r="CQ116" s="103" t="s">
        <v>714</v>
      </c>
      <c r="CR116" s="9">
        <v>8</v>
      </c>
      <c r="CU116" s="103" t="s">
        <v>846</v>
      </c>
      <c r="CV116" s="9">
        <v>6.5</v>
      </c>
      <c r="CW116" s="105" t="s">
        <v>992</v>
      </c>
      <c r="CX116" s="9">
        <v>8</v>
      </c>
      <c r="CY116" s="103" t="s">
        <v>707</v>
      </c>
      <c r="CZ116" s="9">
        <v>5.5</v>
      </c>
    </row>
    <row r="117" spans="62:104" ht="33" x14ac:dyDescent="0.2">
      <c r="BJ117" s="11"/>
      <c r="BK117" s="11"/>
      <c r="BZ117" s="103" t="s">
        <v>802</v>
      </c>
      <c r="CA117" s="9">
        <v>8.5</v>
      </c>
      <c r="CD117" s="103"/>
      <c r="CE117" s="104"/>
      <c r="CF117" s="103"/>
      <c r="CG117" s="104"/>
      <c r="CU117" s="103" t="s">
        <v>847</v>
      </c>
      <c r="CV117" s="9">
        <v>6.5</v>
      </c>
      <c r="CW117" s="105" t="s">
        <v>993</v>
      </c>
      <c r="CX117" s="9">
        <v>8</v>
      </c>
      <c r="CY117" s="103" t="s">
        <v>708</v>
      </c>
      <c r="CZ117" s="9">
        <v>5.5</v>
      </c>
    </row>
    <row r="118" spans="62:104" ht="22" x14ac:dyDescent="0.2">
      <c r="BJ118" s="11"/>
      <c r="BK118" s="11"/>
      <c r="BZ118" s="103"/>
      <c r="CD118" s="103"/>
      <c r="CE118" s="104"/>
      <c r="CF118" s="103"/>
      <c r="CG118" s="104"/>
      <c r="CU118" s="103" t="s">
        <v>848</v>
      </c>
      <c r="CV118" s="9">
        <v>6.5</v>
      </c>
      <c r="CW118" s="105" t="s">
        <v>994</v>
      </c>
      <c r="CX118" s="9">
        <v>8</v>
      </c>
      <c r="CY118" s="103" t="s">
        <v>709</v>
      </c>
      <c r="CZ118" s="9">
        <v>5.5</v>
      </c>
    </row>
    <row r="119" spans="62:104" ht="33" x14ac:dyDescent="0.2">
      <c r="BJ119" s="11"/>
      <c r="BK119" s="11"/>
      <c r="BZ119" s="103" t="s">
        <v>809</v>
      </c>
      <c r="CA119" s="9">
        <v>9</v>
      </c>
      <c r="CD119" s="103"/>
      <c r="CE119" s="104"/>
      <c r="CF119" s="103"/>
      <c r="CG119" s="104"/>
      <c r="CU119" s="103" t="s">
        <v>849</v>
      </c>
      <c r="CV119" s="9">
        <v>6.5</v>
      </c>
      <c r="CW119" s="105" t="s">
        <v>995</v>
      </c>
      <c r="CX119" s="9">
        <v>8</v>
      </c>
      <c r="CY119" s="103" t="s">
        <v>710</v>
      </c>
      <c r="CZ119" s="9">
        <v>5.5</v>
      </c>
    </row>
    <row r="120" spans="62:104" ht="44" x14ac:dyDescent="0.2">
      <c r="BJ120" s="11"/>
      <c r="BK120" s="11"/>
      <c r="BZ120" s="103" t="s">
        <v>810</v>
      </c>
      <c r="CA120" s="9">
        <v>9</v>
      </c>
      <c r="CD120" s="103"/>
      <c r="CE120" s="104"/>
      <c r="CF120" s="103"/>
      <c r="CG120" s="104"/>
      <c r="CU120" s="103" t="s">
        <v>850</v>
      </c>
      <c r="CV120" s="9">
        <v>6.5</v>
      </c>
      <c r="CW120" s="105" t="s">
        <v>996</v>
      </c>
      <c r="CX120" s="9">
        <v>8</v>
      </c>
      <c r="CY120" s="103" t="s">
        <v>711</v>
      </c>
      <c r="CZ120" s="9">
        <v>5.5</v>
      </c>
    </row>
    <row r="121" spans="62:104" ht="22" x14ac:dyDescent="0.2">
      <c r="BJ121" s="12"/>
      <c r="BK121" s="11"/>
      <c r="BZ121" s="103" t="s">
        <v>811</v>
      </c>
      <c r="CA121" s="9">
        <v>9</v>
      </c>
      <c r="CD121" s="103"/>
      <c r="CE121" s="104"/>
      <c r="CF121" s="103"/>
      <c r="CG121" s="104"/>
      <c r="CU121" s="103" t="s">
        <v>851</v>
      </c>
      <c r="CV121" s="9">
        <v>6.5</v>
      </c>
      <c r="CW121" s="105" t="s">
        <v>997</v>
      </c>
      <c r="CX121" s="9">
        <v>8</v>
      </c>
      <c r="CY121" s="103" t="s">
        <v>712</v>
      </c>
      <c r="CZ121" s="9">
        <v>5.5</v>
      </c>
    </row>
    <row r="122" spans="62:104" ht="44" x14ac:dyDescent="0.2">
      <c r="BJ122" s="11"/>
      <c r="BK122" s="11"/>
      <c r="BZ122" s="103" t="s">
        <v>812</v>
      </c>
      <c r="CA122" s="9">
        <v>9</v>
      </c>
      <c r="CD122" s="103"/>
      <c r="CE122" s="104"/>
      <c r="CF122" s="103"/>
      <c r="CG122" s="104"/>
      <c r="CU122" s="103" t="s">
        <v>852</v>
      </c>
      <c r="CV122" s="9">
        <v>6.5</v>
      </c>
      <c r="CW122" s="105" t="s">
        <v>998</v>
      </c>
      <c r="CX122" s="9">
        <v>8</v>
      </c>
      <c r="CY122" s="103" t="s">
        <v>713</v>
      </c>
      <c r="CZ122" s="9">
        <v>5.5</v>
      </c>
    </row>
    <row r="123" spans="62:104" ht="33" x14ac:dyDescent="0.2">
      <c r="BJ123" s="11"/>
      <c r="BK123" s="11"/>
      <c r="BZ123" s="103" t="s">
        <v>813</v>
      </c>
      <c r="CA123" s="9">
        <v>9</v>
      </c>
      <c r="CD123" s="103"/>
      <c r="CE123" s="104"/>
      <c r="CF123" s="103"/>
      <c r="CG123" s="104"/>
      <c r="CU123" s="103" t="s">
        <v>853</v>
      </c>
      <c r="CV123" s="9">
        <v>6.5</v>
      </c>
      <c r="CW123" s="105" t="s">
        <v>999</v>
      </c>
      <c r="CX123" s="9">
        <v>8</v>
      </c>
      <c r="CY123" s="103" t="s">
        <v>714</v>
      </c>
      <c r="CZ123" s="9">
        <v>5.5</v>
      </c>
    </row>
    <row r="124" spans="62:104" ht="33" x14ac:dyDescent="0.2">
      <c r="BJ124" s="11"/>
      <c r="BK124" s="11"/>
      <c r="BZ124" s="103" t="s">
        <v>814</v>
      </c>
      <c r="CA124" s="9">
        <v>9</v>
      </c>
      <c r="CD124" s="103"/>
      <c r="CE124" s="104"/>
      <c r="CF124" s="103"/>
      <c r="CG124" s="104"/>
      <c r="CW124" s="105" t="s">
        <v>1000</v>
      </c>
      <c r="CX124" s="9">
        <v>8</v>
      </c>
      <c r="CY124" s="103" t="s">
        <v>715</v>
      </c>
      <c r="CZ124" s="9">
        <v>5.5</v>
      </c>
    </row>
    <row r="125" spans="62:104" ht="22" x14ac:dyDescent="0.2">
      <c r="BJ125" s="11"/>
      <c r="BK125" s="11"/>
      <c r="BZ125" s="103" t="s">
        <v>815</v>
      </c>
      <c r="CA125" s="9">
        <v>9</v>
      </c>
      <c r="CD125" s="103"/>
      <c r="CE125" s="104"/>
      <c r="CF125" s="103"/>
      <c r="CG125" s="104"/>
      <c r="CU125" s="103" t="s">
        <v>873</v>
      </c>
      <c r="CV125" s="104">
        <v>7</v>
      </c>
      <c r="CW125" s="105" t="s">
        <v>1001</v>
      </c>
      <c r="CX125" s="9">
        <v>8</v>
      </c>
      <c r="CY125" s="103" t="s">
        <v>716</v>
      </c>
      <c r="CZ125" s="9">
        <v>5.5</v>
      </c>
    </row>
    <row r="126" spans="62:104" ht="22" x14ac:dyDescent="0.2">
      <c r="BJ126" s="11"/>
      <c r="BK126" s="11"/>
      <c r="BZ126" s="103" t="s">
        <v>816</v>
      </c>
      <c r="CA126" s="9">
        <v>9</v>
      </c>
      <c r="CD126" s="103"/>
      <c r="CE126" s="104"/>
      <c r="CF126" s="103"/>
      <c r="CG126" s="104"/>
      <c r="CU126" s="103" t="s">
        <v>874</v>
      </c>
      <c r="CV126" s="104">
        <v>7</v>
      </c>
      <c r="CW126" s="105" t="s">
        <v>1002</v>
      </c>
      <c r="CX126" s="9">
        <v>8</v>
      </c>
      <c r="CY126" s="103" t="s">
        <v>717</v>
      </c>
      <c r="CZ126" s="9">
        <v>5.5</v>
      </c>
    </row>
    <row r="127" spans="62:104" ht="33" x14ac:dyDescent="0.2">
      <c r="BJ127" s="11"/>
      <c r="BK127" s="11"/>
      <c r="BQ127" s="1"/>
      <c r="BZ127" s="103" t="s">
        <v>817</v>
      </c>
      <c r="CA127" s="9">
        <v>9</v>
      </c>
      <c r="CD127" s="103"/>
      <c r="CE127" s="104"/>
      <c r="CF127" s="103"/>
      <c r="CG127" s="104"/>
      <c r="CU127" s="103" t="s">
        <v>875</v>
      </c>
      <c r="CV127" s="104">
        <v>7</v>
      </c>
      <c r="CW127" s="105" t="s">
        <v>1003</v>
      </c>
      <c r="CX127" s="9">
        <v>8</v>
      </c>
      <c r="CY127" s="103" t="s">
        <v>718</v>
      </c>
      <c r="CZ127" s="9">
        <v>5.5</v>
      </c>
    </row>
    <row r="128" spans="62:104" ht="33" x14ac:dyDescent="0.2">
      <c r="BJ128" s="11"/>
      <c r="BK128" s="11"/>
      <c r="BQ128" s="1"/>
      <c r="CD128" s="103"/>
      <c r="CE128" s="104"/>
      <c r="CF128" s="103"/>
      <c r="CG128" s="104"/>
      <c r="CU128" s="103" t="s">
        <v>876</v>
      </c>
      <c r="CV128" s="104">
        <v>7</v>
      </c>
      <c r="CW128" s="105" t="s">
        <v>1004</v>
      </c>
      <c r="CX128" s="9">
        <v>8</v>
      </c>
      <c r="CY128" s="103" t="s">
        <v>719</v>
      </c>
      <c r="CZ128" s="9">
        <v>5.5</v>
      </c>
    </row>
    <row r="129" spans="62:104" ht="33" x14ac:dyDescent="0.2">
      <c r="BJ129" s="12"/>
      <c r="BK129" s="11"/>
      <c r="CD129" s="103"/>
      <c r="CE129" s="104"/>
      <c r="CF129" s="103"/>
      <c r="CG129" s="104"/>
      <c r="CU129" s="103" t="s">
        <v>877</v>
      </c>
      <c r="CV129" s="104">
        <v>7</v>
      </c>
      <c r="CW129" s="105" t="s">
        <v>1005</v>
      </c>
      <c r="CX129" s="9">
        <v>8</v>
      </c>
      <c r="CY129" s="103" t="s">
        <v>720</v>
      </c>
      <c r="CZ129" s="9">
        <v>5.5</v>
      </c>
    </row>
    <row r="130" spans="62:104" ht="22" x14ac:dyDescent="0.2">
      <c r="BJ130" s="11"/>
      <c r="BK130" s="11"/>
      <c r="CD130" s="103"/>
      <c r="CE130" s="104"/>
      <c r="CF130" s="103"/>
      <c r="CG130" s="104"/>
      <c r="CU130" s="103" t="s">
        <v>878</v>
      </c>
      <c r="CV130" s="104">
        <v>7</v>
      </c>
      <c r="CW130" s="105" t="s">
        <v>1006</v>
      </c>
      <c r="CX130" s="9">
        <v>8</v>
      </c>
      <c r="CY130" s="103" t="s">
        <v>721</v>
      </c>
      <c r="CZ130" s="9">
        <v>5.5</v>
      </c>
    </row>
    <row r="131" spans="62:104" ht="22" x14ac:dyDescent="0.2">
      <c r="BJ131" s="11"/>
      <c r="BK131" s="11"/>
      <c r="CD131" s="103"/>
      <c r="CE131" s="104"/>
      <c r="CF131" s="103"/>
      <c r="CG131" s="104"/>
      <c r="CU131" s="103" t="s">
        <v>879</v>
      </c>
      <c r="CV131" s="104">
        <v>7</v>
      </c>
      <c r="CW131" s="105" t="s">
        <v>1007</v>
      </c>
      <c r="CX131" s="9">
        <v>8</v>
      </c>
      <c r="CY131" s="103" t="s">
        <v>722</v>
      </c>
      <c r="CZ131" s="9">
        <v>5.5</v>
      </c>
    </row>
    <row r="132" spans="62:104" ht="33" x14ac:dyDescent="0.2">
      <c r="BJ132" s="11"/>
      <c r="BK132" s="11"/>
      <c r="CD132" s="103"/>
      <c r="CE132" s="104"/>
      <c r="CF132" s="103"/>
      <c r="CG132" s="104"/>
      <c r="CU132" s="105" t="s">
        <v>880</v>
      </c>
      <c r="CV132" s="106">
        <v>7</v>
      </c>
      <c r="CW132" s="105" t="s">
        <v>1008</v>
      </c>
      <c r="CX132" s="9">
        <v>8</v>
      </c>
      <c r="CY132" s="103" t="s">
        <v>723</v>
      </c>
      <c r="CZ132" s="9">
        <v>5.5</v>
      </c>
    </row>
    <row r="133" spans="62:104" ht="33" x14ac:dyDescent="0.2">
      <c r="BJ133" s="11"/>
      <c r="BK133" s="11"/>
      <c r="CD133" s="103"/>
      <c r="CE133" s="104"/>
      <c r="CF133" s="103"/>
      <c r="CG133" s="104"/>
      <c r="CU133" s="105" t="s">
        <v>881</v>
      </c>
      <c r="CV133" s="9">
        <v>7</v>
      </c>
      <c r="CW133" s="105" t="s">
        <v>1009</v>
      </c>
      <c r="CX133" s="9">
        <v>8</v>
      </c>
      <c r="CY133" s="103" t="s">
        <v>724</v>
      </c>
      <c r="CZ133" s="9">
        <v>5.5</v>
      </c>
    </row>
    <row r="134" spans="62:104" ht="44" x14ac:dyDescent="0.2">
      <c r="BJ134" s="11"/>
      <c r="BK134" s="11"/>
      <c r="CD134" s="103"/>
      <c r="CE134" s="104"/>
      <c r="CF134" s="103"/>
      <c r="CG134" s="104"/>
      <c r="CU134" s="105" t="s">
        <v>882</v>
      </c>
      <c r="CV134" s="9">
        <v>7</v>
      </c>
      <c r="CW134" s="105" t="s">
        <v>1010</v>
      </c>
      <c r="CX134" s="9">
        <v>8</v>
      </c>
      <c r="CY134" s="103" t="s">
        <v>725</v>
      </c>
      <c r="CZ134" s="9">
        <v>5.5</v>
      </c>
    </row>
    <row r="135" spans="62:104" ht="33" x14ac:dyDescent="0.2">
      <c r="BJ135" s="11"/>
      <c r="BK135" s="11"/>
      <c r="CD135" s="103"/>
      <c r="CE135" s="104"/>
      <c r="CF135" s="103"/>
      <c r="CG135" s="104"/>
      <c r="CU135" s="105" t="s">
        <v>883</v>
      </c>
      <c r="CV135" s="9">
        <v>7</v>
      </c>
      <c r="CW135" s="105" t="s">
        <v>1011</v>
      </c>
      <c r="CX135" s="9">
        <v>8</v>
      </c>
      <c r="CY135" s="103" t="s">
        <v>726</v>
      </c>
      <c r="CZ135" s="9">
        <v>5.5</v>
      </c>
    </row>
    <row r="136" spans="62:104" ht="44" x14ac:dyDescent="0.2">
      <c r="BJ136" s="11"/>
      <c r="BK136" s="11"/>
      <c r="CD136" s="103"/>
      <c r="CE136" s="104"/>
      <c r="CF136" s="103"/>
      <c r="CG136" s="104"/>
      <c r="CU136" s="105" t="s">
        <v>884</v>
      </c>
      <c r="CV136" s="9">
        <v>7</v>
      </c>
      <c r="CW136" s="105" t="s">
        <v>1033</v>
      </c>
      <c r="CX136" s="9">
        <v>8.5</v>
      </c>
      <c r="CY136" s="103" t="s">
        <v>727</v>
      </c>
      <c r="CZ136" s="9">
        <v>5.5</v>
      </c>
    </row>
    <row r="137" spans="62:104" ht="22" x14ac:dyDescent="0.2">
      <c r="BJ137" s="11"/>
      <c r="BK137" s="11"/>
      <c r="CD137" s="103"/>
      <c r="CE137" s="104"/>
      <c r="CF137" s="103"/>
      <c r="CG137" s="104"/>
      <c r="CU137" s="105" t="s">
        <v>885</v>
      </c>
      <c r="CV137" s="9">
        <v>7</v>
      </c>
      <c r="CW137" s="105" t="s">
        <v>1034</v>
      </c>
      <c r="CX137" s="9">
        <v>8.5</v>
      </c>
      <c r="CY137" s="103" t="s">
        <v>728</v>
      </c>
      <c r="CZ137" s="9">
        <v>5.5</v>
      </c>
    </row>
    <row r="138" spans="62:104" ht="22" x14ac:dyDescent="0.2">
      <c r="BJ138" s="11"/>
      <c r="BK138" s="11"/>
      <c r="CD138" s="103"/>
      <c r="CE138" s="104"/>
      <c r="CF138" s="103"/>
      <c r="CG138" s="104"/>
      <c r="CU138" s="105" t="s">
        <v>886</v>
      </c>
      <c r="CV138" s="9">
        <v>7</v>
      </c>
      <c r="CW138" s="105" t="s">
        <v>1035</v>
      </c>
      <c r="CX138" s="9">
        <v>8.5</v>
      </c>
      <c r="CY138" s="103" t="s">
        <v>826</v>
      </c>
      <c r="CZ138" s="9">
        <v>7.5</v>
      </c>
    </row>
    <row r="139" spans="62:104" ht="33" x14ac:dyDescent="0.2">
      <c r="BJ139" s="11"/>
      <c r="BK139" s="11"/>
      <c r="CD139" s="103"/>
      <c r="CE139" s="104"/>
      <c r="CF139" s="103"/>
      <c r="CG139" s="104"/>
      <c r="CU139" s="105" t="s">
        <v>887</v>
      </c>
      <c r="CV139" s="9">
        <v>7</v>
      </c>
      <c r="CW139" s="105" t="s">
        <v>1036</v>
      </c>
      <c r="CX139" s="9">
        <v>8.5</v>
      </c>
      <c r="CY139" s="103" t="s">
        <v>827</v>
      </c>
      <c r="CZ139" s="9">
        <v>7.5</v>
      </c>
    </row>
    <row r="140" spans="62:104" ht="22" x14ac:dyDescent="0.2">
      <c r="BJ140" s="12"/>
      <c r="BK140" s="11"/>
      <c r="CD140" s="103"/>
      <c r="CE140" s="104"/>
      <c r="CF140" s="103"/>
      <c r="CG140" s="104"/>
      <c r="CU140" s="105" t="s">
        <v>888</v>
      </c>
      <c r="CV140" s="9">
        <v>7</v>
      </c>
      <c r="CW140" s="105" t="s">
        <v>1037</v>
      </c>
      <c r="CX140" s="9">
        <v>8.5</v>
      </c>
      <c r="CY140" s="103" t="s">
        <v>828</v>
      </c>
      <c r="CZ140" s="9">
        <v>7.5</v>
      </c>
    </row>
    <row r="141" spans="62:104" ht="33" x14ac:dyDescent="0.2">
      <c r="BJ141" s="12"/>
      <c r="BK141" s="11"/>
      <c r="CD141" s="103"/>
      <c r="CE141" s="104"/>
      <c r="CF141" s="103"/>
      <c r="CG141" s="104"/>
      <c r="CU141" s="105" t="s">
        <v>889</v>
      </c>
      <c r="CV141" s="9">
        <v>7</v>
      </c>
      <c r="CW141" s="105" t="s">
        <v>1038</v>
      </c>
      <c r="CX141" s="9">
        <v>8.5</v>
      </c>
      <c r="CY141" s="103" t="s">
        <v>829</v>
      </c>
      <c r="CZ141" s="9">
        <v>7.5</v>
      </c>
    </row>
    <row r="142" spans="62:104" ht="33" x14ac:dyDescent="0.2">
      <c r="BJ142" s="11"/>
      <c r="BK142" s="11"/>
      <c r="CD142" s="103"/>
      <c r="CE142" s="104"/>
      <c r="CF142" s="103"/>
      <c r="CG142" s="104"/>
      <c r="CU142" s="105" t="s">
        <v>890</v>
      </c>
      <c r="CV142" s="9">
        <v>7</v>
      </c>
      <c r="CW142" s="105" t="s">
        <v>1039</v>
      </c>
      <c r="CX142" s="9">
        <v>8.5</v>
      </c>
      <c r="CY142" s="103" t="s">
        <v>830</v>
      </c>
      <c r="CZ142" s="9">
        <v>7.5</v>
      </c>
    </row>
    <row r="143" spans="62:104" ht="44" x14ac:dyDescent="0.2">
      <c r="BJ143" s="11"/>
      <c r="BK143" s="11"/>
      <c r="CD143" s="103"/>
      <c r="CE143" s="104"/>
      <c r="CF143" s="103"/>
      <c r="CG143" s="104"/>
      <c r="CU143" s="105" t="s">
        <v>891</v>
      </c>
      <c r="CV143" s="9">
        <v>7</v>
      </c>
      <c r="CW143" s="105" t="s">
        <v>1040</v>
      </c>
      <c r="CX143" s="9">
        <v>8.5</v>
      </c>
      <c r="CY143" s="103" t="s">
        <v>831</v>
      </c>
      <c r="CZ143" s="9">
        <v>7.5</v>
      </c>
    </row>
    <row r="144" spans="62:104" ht="22" x14ac:dyDescent="0.2">
      <c r="BJ144" s="11"/>
      <c r="BK144" s="11"/>
      <c r="CD144" s="103"/>
      <c r="CE144" s="104"/>
      <c r="CF144" s="103"/>
      <c r="CG144" s="104"/>
      <c r="CU144" s="105" t="s">
        <v>892</v>
      </c>
      <c r="CV144" s="9">
        <v>7</v>
      </c>
      <c r="CW144" s="105" t="s">
        <v>1041</v>
      </c>
      <c r="CX144" s="9">
        <v>8.5</v>
      </c>
      <c r="CY144" s="103" t="s">
        <v>832</v>
      </c>
      <c r="CZ144" s="9">
        <v>7.5</v>
      </c>
    </row>
    <row r="145" spans="62:104" ht="44" x14ac:dyDescent="0.2">
      <c r="BJ145" s="11"/>
      <c r="BK145" s="11"/>
      <c r="CD145" s="103"/>
      <c r="CE145" s="104"/>
      <c r="CF145" s="103"/>
      <c r="CG145" s="104"/>
      <c r="CU145" s="105" t="s">
        <v>893</v>
      </c>
      <c r="CV145" s="9">
        <v>7</v>
      </c>
      <c r="CW145" s="105" t="s">
        <v>1042</v>
      </c>
      <c r="CX145" s="9">
        <v>8.5</v>
      </c>
      <c r="CY145" s="103" t="s">
        <v>833</v>
      </c>
      <c r="CZ145" s="9">
        <v>7.5</v>
      </c>
    </row>
    <row r="146" spans="62:104" ht="33" x14ac:dyDescent="0.2">
      <c r="BJ146" s="11"/>
      <c r="BK146" s="11"/>
      <c r="CD146" s="103"/>
      <c r="CE146" s="104"/>
      <c r="CF146" s="103"/>
      <c r="CG146" s="104"/>
      <c r="CU146" s="105" t="s">
        <v>894</v>
      </c>
      <c r="CV146" s="9">
        <v>7</v>
      </c>
      <c r="CW146" s="105" t="s">
        <v>1043</v>
      </c>
      <c r="CX146" s="9">
        <v>8.5</v>
      </c>
      <c r="CY146" s="103" t="s">
        <v>834</v>
      </c>
      <c r="CZ146" s="9">
        <v>7.5</v>
      </c>
    </row>
    <row r="147" spans="62:104" ht="33" x14ac:dyDescent="0.2">
      <c r="BJ147" s="11"/>
      <c r="BK147" s="11"/>
      <c r="BS147" s="13"/>
      <c r="CD147" s="103"/>
      <c r="CE147" s="104"/>
      <c r="CF147" s="103"/>
      <c r="CG147" s="104"/>
      <c r="CU147" s="105" t="s">
        <v>895</v>
      </c>
      <c r="CV147" s="9">
        <v>7</v>
      </c>
      <c r="CW147" s="105" t="s">
        <v>1044</v>
      </c>
      <c r="CX147" s="9">
        <v>8.5</v>
      </c>
      <c r="CY147" s="103" t="s">
        <v>835</v>
      </c>
      <c r="CZ147" s="9">
        <v>7.5</v>
      </c>
    </row>
    <row r="148" spans="62:104" ht="33" x14ac:dyDescent="0.2">
      <c r="BJ148" s="11"/>
      <c r="BK148" s="11"/>
      <c r="BS148" s="13"/>
      <c r="CD148" s="103"/>
      <c r="CE148" s="104"/>
      <c r="CF148" s="103"/>
      <c r="CG148" s="104"/>
      <c r="CU148" s="105" t="s">
        <v>896</v>
      </c>
      <c r="CV148" s="9">
        <v>7</v>
      </c>
      <c r="CW148" s="105" t="s">
        <v>1045</v>
      </c>
      <c r="CX148" s="9">
        <v>8.5</v>
      </c>
      <c r="CY148" s="103" t="s">
        <v>836</v>
      </c>
      <c r="CZ148" s="9">
        <v>7.5</v>
      </c>
    </row>
    <row r="149" spans="62:104" ht="44" x14ac:dyDescent="0.2">
      <c r="BJ149" s="11"/>
      <c r="BK149" s="11"/>
      <c r="BS149" s="13"/>
      <c r="CD149" s="103"/>
      <c r="CE149" s="104"/>
      <c r="CF149" s="103"/>
      <c r="CG149" s="104"/>
      <c r="CU149" s="105" t="s">
        <v>897</v>
      </c>
      <c r="CV149" s="9">
        <v>7</v>
      </c>
      <c r="CW149" s="105" t="s">
        <v>1046</v>
      </c>
      <c r="CX149" s="9">
        <v>8.5</v>
      </c>
      <c r="CY149" s="103" t="s">
        <v>837</v>
      </c>
      <c r="CZ149" s="9">
        <v>7.5</v>
      </c>
    </row>
    <row r="150" spans="62:104" ht="33" x14ac:dyDescent="0.2">
      <c r="BJ150" s="11"/>
      <c r="BK150" s="11"/>
      <c r="CD150" s="103"/>
      <c r="CE150" s="104"/>
      <c r="CF150" s="103"/>
      <c r="CG150" s="104"/>
      <c r="CU150" s="105" t="s">
        <v>898</v>
      </c>
      <c r="CV150" s="9">
        <v>7</v>
      </c>
      <c r="CW150" s="105" t="s">
        <v>1047</v>
      </c>
      <c r="CX150" s="9">
        <v>8.5</v>
      </c>
      <c r="CY150" s="103" t="s">
        <v>838</v>
      </c>
      <c r="CZ150" s="9">
        <v>7.5</v>
      </c>
    </row>
    <row r="151" spans="62:104" ht="33" x14ac:dyDescent="0.2">
      <c r="BJ151" s="11"/>
      <c r="BK151" s="11"/>
      <c r="BR151" s="13"/>
      <c r="CD151" s="103"/>
      <c r="CE151" s="104"/>
      <c r="CF151" s="103"/>
      <c r="CG151" s="104"/>
      <c r="CU151" s="105" t="s">
        <v>899</v>
      </c>
      <c r="CV151" s="9">
        <v>7</v>
      </c>
      <c r="CW151" s="105" t="s">
        <v>1048</v>
      </c>
      <c r="CX151" s="9">
        <v>8.5</v>
      </c>
      <c r="CY151" s="103" t="s">
        <v>839</v>
      </c>
      <c r="CZ151" s="9">
        <v>7.5</v>
      </c>
    </row>
    <row r="152" spans="62:104" ht="33" x14ac:dyDescent="0.2">
      <c r="BJ152" s="11"/>
      <c r="BK152" s="11"/>
      <c r="BR152" s="13"/>
      <c r="BS152" s="13"/>
      <c r="CD152" s="103"/>
      <c r="CE152" s="104"/>
      <c r="CF152" s="103"/>
      <c r="CG152" s="104"/>
      <c r="CW152" s="105" t="s">
        <v>1049</v>
      </c>
      <c r="CX152" s="9">
        <v>8.5</v>
      </c>
      <c r="CY152" s="103" t="s">
        <v>840</v>
      </c>
      <c r="CZ152" s="9">
        <v>7.5</v>
      </c>
    </row>
    <row r="153" spans="62:104" ht="22" x14ac:dyDescent="0.2">
      <c r="BJ153" s="11"/>
      <c r="BK153" s="11"/>
      <c r="BR153" s="13"/>
      <c r="BS153" s="13"/>
      <c r="CD153" s="103"/>
      <c r="CE153" s="104"/>
      <c r="CF153" s="103"/>
      <c r="CG153" s="104"/>
      <c r="CU153" s="105" t="s">
        <v>915</v>
      </c>
      <c r="CV153" s="9">
        <v>7.5</v>
      </c>
      <c r="CW153" s="105" t="s">
        <v>1050</v>
      </c>
      <c r="CX153" s="9">
        <v>8.5</v>
      </c>
      <c r="CY153" s="103" t="s">
        <v>841</v>
      </c>
      <c r="CZ153" s="9">
        <v>7.5</v>
      </c>
    </row>
    <row r="154" spans="62:104" ht="22" x14ac:dyDescent="0.2">
      <c r="BJ154" s="11"/>
      <c r="BK154" s="11"/>
      <c r="BS154" s="13"/>
      <c r="CD154" s="103"/>
      <c r="CE154" s="104"/>
      <c r="CF154" s="103"/>
      <c r="CG154" s="104"/>
      <c r="CU154" s="105" t="s">
        <v>916</v>
      </c>
      <c r="CV154" s="9">
        <v>7.5</v>
      </c>
      <c r="CW154" s="105" t="s">
        <v>1051</v>
      </c>
      <c r="CX154" s="9">
        <v>8.5</v>
      </c>
      <c r="CY154" s="103" t="s">
        <v>842</v>
      </c>
      <c r="CZ154" s="9">
        <v>7.5</v>
      </c>
    </row>
    <row r="155" spans="62:104" ht="33" x14ac:dyDescent="0.2">
      <c r="BJ155" s="11"/>
      <c r="BK155" s="11"/>
      <c r="CD155" s="103"/>
      <c r="CE155" s="104"/>
      <c r="CF155" s="103"/>
      <c r="CG155" s="104"/>
      <c r="CU155" s="105" t="s">
        <v>917</v>
      </c>
      <c r="CV155" s="9">
        <v>7.5</v>
      </c>
      <c r="CW155" s="105" t="s">
        <v>1052</v>
      </c>
      <c r="CX155" s="9">
        <v>9</v>
      </c>
      <c r="CY155" s="103" t="s">
        <v>843</v>
      </c>
      <c r="CZ155" s="9">
        <v>7.5</v>
      </c>
    </row>
    <row r="156" spans="62:104" ht="33" x14ac:dyDescent="0.2">
      <c r="BJ156" s="11"/>
      <c r="BK156" s="11"/>
      <c r="BR156" s="13"/>
      <c r="CD156" s="103"/>
      <c r="CE156" s="104"/>
      <c r="CF156" s="103"/>
      <c r="CG156" s="104"/>
      <c r="CU156" s="105" t="s">
        <v>918</v>
      </c>
      <c r="CV156" s="9">
        <v>7.5</v>
      </c>
      <c r="CW156" s="105" t="s">
        <v>1053</v>
      </c>
      <c r="CX156" s="9">
        <v>9</v>
      </c>
      <c r="CY156" s="103" t="s">
        <v>844</v>
      </c>
      <c r="CZ156" s="9">
        <v>7.5</v>
      </c>
    </row>
    <row r="157" spans="62:104" ht="22" x14ac:dyDescent="0.2">
      <c r="BK157" s="11"/>
      <c r="BR157" s="13"/>
      <c r="CD157" s="103"/>
      <c r="CE157" s="104"/>
      <c r="CF157" s="103"/>
      <c r="CG157" s="104"/>
      <c r="CU157" s="105" t="s">
        <v>919</v>
      </c>
      <c r="CV157" s="9">
        <v>7.5</v>
      </c>
      <c r="CW157" s="105" t="s">
        <v>1054</v>
      </c>
      <c r="CX157" s="9">
        <v>9</v>
      </c>
      <c r="CY157" s="103" t="s">
        <v>845</v>
      </c>
      <c r="CZ157" s="9">
        <v>7.5</v>
      </c>
    </row>
    <row r="158" spans="62:104" ht="33" x14ac:dyDescent="0.2">
      <c r="BK158" s="11"/>
      <c r="BR158" s="13"/>
      <c r="CD158" s="103"/>
      <c r="CE158" s="104"/>
      <c r="CF158" s="103"/>
      <c r="CG158" s="104"/>
      <c r="CU158" s="105" t="s">
        <v>920</v>
      </c>
      <c r="CV158" s="9">
        <v>7.5</v>
      </c>
      <c r="CW158" s="105" t="s">
        <v>1055</v>
      </c>
      <c r="CX158" s="9">
        <v>9</v>
      </c>
      <c r="CY158" s="103" t="s">
        <v>846</v>
      </c>
      <c r="CZ158" s="9">
        <v>7.5</v>
      </c>
    </row>
    <row r="159" spans="62:104" ht="33" x14ac:dyDescent="0.2">
      <c r="BK159" s="11"/>
      <c r="CD159" s="103"/>
      <c r="CE159" s="104"/>
      <c r="CF159" s="103"/>
      <c r="CG159" s="104"/>
      <c r="CU159" s="105" t="s">
        <v>921</v>
      </c>
      <c r="CV159" s="9">
        <v>7.5</v>
      </c>
      <c r="CW159" s="105" t="s">
        <v>1056</v>
      </c>
      <c r="CX159" s="9">
        <v>9</v>
      </c>
      <c r="CY159" s="103" t="s">
        <v>847</v>
      </c>
      <c r="CZ159" s="9">
        <v>7.5</v>
      </c>
    </row>
    <row r="160" spans="62:104" ht="44" x14ac:dyDescent="0.2">
      <c r="BK160" s="11"/>
      <c r="CD160" s="103"/>
      <c r="CE160" s="104"/>
      <c r="CF160" s="103"/>
      <c r="CG160" s="104"/>
      <c r="CU160" s="105" t="s">
        <v>922</v>
      </c>
      <c r="CV160" s="9">
        <v>7.5</v>
      </c>
      <c r="CW160" s="105" t="s">
        <v>1057</v>
      </c>
      <c r="CX160" s="9">
        <v>9</v>
      </c>
      <c r="CY160" s="103" t="s">
        <v>848</v>
      </c>
      <c r="CZ160" s="9">
        <v>7.5</v>
      </c>
    </row>
    <row r="161" spans="63:104" ht="22" x14ac:dyDescent="0.2">
      <c r="BK161" s="11"/>
      <c r="CD161" s="103"/>
      <c r="CE161" s="104"/>
      <c r="CF161" s="103"/>
      <c r="CG161" s="104"/>
      <c r="CU161" s="105" t="s">
        <v>923</v>
      </c>
      <c r="CV161" s="9">
        <v>7.5</v>
      </c>
      <c r="CW161" s="105" t="s">
        <v>1058</v>
      </c>
      <c r="CX161" s="9">
        <v>9</v>
      </c>
      <c r="CY161" s="103" t="s">
        <v>849</v>
      </c>
      <c r="CZ161" s="9">
        <v>7.5</v>
      </c>
    </row>
    <row r="162" spans="63:104" ht="44" x14ac:dyDescent="0.2">
      <c r="BK162" s="11"/>
      <c r="CD162" s="103"/>
      <c r="CE162" s="104"/>
      <c r="CF162" s="103"/>
      <c r="CG162" s="104"/>
      <c r="CU162" s="105" t="s">
        <v>924</v>
      </c>
      <c r="CV162" s="9">
        <v>7.5</v>
      </c>
      <c r="CW162" s="105" t="s">
        <v>1059</v>
      </c>
      <c r="CX162" s="9">
        <v>9</v>
      </c>
      <c r="CY162" s="103" t="s">
        <v>850</v>
      </c>
      <c r="CZ162" s="9">
        <v>7.5</v>
      </c>
    </row>
    <row r="163" spans="63:104" ht="44" x14ac:dyDescent="0.2">
      <c r="BK163" s="11"/>
      <c r="CD163" s="103"/>
      <c r="CE163" s="104"/>
      <c r="CF163" s="103"/>
      <c r="CG163" s="104"/>
      <c r="CU163" s="105" t="s">
        <v>925</v>
      </c>
      <c r="CV163" s="9">
        <v>7.5</v>
      </c>
      <c r="CW163" s="105" t="s">
        <v>1060</v>
      </c>
      <c r="CX163" s="9">
        <v>9</v>
      </c>
      <c r="CY163" s="103" t="s">
        <v>851</v>
      </c>
      <c r="CZ163" s="9">
        <v>7.5</v>
      </c>
    </row>
    <row r="164" spans="63:104" ht="44" x14ac:dyDescent="0.2">
      <c r="BK164" s="11"/>
      <c r="CD164" s="103"/>
      <c r="CE164" s="104"/>
      <c r="CF164" s="103"/>
      <c r="CG164" s="104"/>
      <c r="CU164" s="105" t="s">
        <v>926</v>
      </c>
      <c r="CV164" s="9">
        <v>7.5</v>
      </c>
      <c r="CW164" s="105" t="s">
        <v>1061</v>
      </c>
      <c r="CX164" s="9">
        <v>9</v>
      </c>
      <c r="CY164" s="103" t="s">
        <v>852</v>
      </c>
      <c r="CZ164" s="9">
        <v>7.5</v>
      </c>
    </row>
    <row r="165" spans="63:104" ht="33" x14ac:dyDescent="0.2">
      <c r="BK165" s="11"/>
      <c r="CD165" s="103"/>
      <c r="CE165" s="104"/>
      <c r="CF165" s="103"/>
      <c r="CG165" s="104"/>
      <c r="CU165" s="105" t="s">
        <v>927</v>
      </c>
      <c r="CV165" s="9">
        <v>7.5</v>
      </c>
      <c r="CW165" s="105" t="s">
        <v>1062</v>
      </c>
      <c r="CX165" s="9">
        <v>9</v>
      </c>
      <c r="CY165" s="103" t="s">
        <v>853</v>
      </c>
      <c r="CZ165" s="9">
        <v>7.5</v>
      </c>
    </row>
    <row r="166" spans="63:104" ht="22" x14ac:dyDescent="0.2">
      <c r="BK166" s="11"/>
      <c r="CD166" s="103"/>
      <c r="CE166" s="104"/>
      <c r="CF166" s="103"/>
      <c r="CG166" s="104"/>
      <c r="CU166" s="105" t="s">
        <v>928</v>
      </c>
      <c r="CV166" s="9">
        <v>7.5</v>
      </c>
      <c r="CW166" s="105" t="s">
        <v>1063</v>
      </c>
      <c r="CX166" s="9">
        <v>9</v>
      </c>
      <c r="CY166" s="105" t="s">
        <v>915</v>
      </c>
      <c r="CZ166" s="9">
        <v>7.5</v>
      </c>
    </row>
    <row r="167" spans="63:104" ht="22" x14ac:dyDescent="0.2">
      <c r="BK167" s="11"/>
      <c r="CD167" s="103"/>
      <c r="CE167" s="104"/>
      <c r="CF167" s="103"/>
      <c r="CG167" s="104"/>
      <c r="CU167" s="105" t="s">
        <v>929</v>
      </c>
      <c r="CV167" s="9">
        <v>7.5</v>
      </c>
      <c r="CW167" s="105" t="s">
        <v>1064</v>
      </c>
      <c r="CX167" s="9">
        <v>9</v>
      </c>
      <c r="CY167" s="105" t="s">
        <v>916</v>
      </c>
      <c r="CZ167" s="9">
        <v>7.5</v>
      </c>
    </row>
    <row r="168" spans="63:104" ht="22" x14ac:dyDescent="0.2">
      <c r="BK168" s="11"/>
      <c r="CD168" s="103"/>
      <c r="CE168" s="104"/>
      <c r="CF168" s="103"/>
      <c r="CG168" s="104"/>
      <c r="CU168" s="105" t="s">
        <v>930</v>
      </c>
      <c r="CV168" s="9">
        <v>7.5</v>
      </c>
      <c r="CW168" s="105" t="s">
        <v>1065</v>
      </c>
      <c r="CX168" s="9">
        <v>9</v>
      </c>
      <c r="CY168" s="105" t="s">
        <v>917</v>
      </c>
      <c r="CZ168" s="9">
        <v>7.5</v>
      </c>
    </row>
    <row r="169" spans="63:104" ht="44" x14ac:dyDescent="0.2">
      <c r="BK169" s="11"/>
      <c r="CD169" s="103"/>
      <c r="CE169" s="104"/>
      <c r="CF169" s="103"/>
      <c r="CG169" s="104"/>
      <c r="CU169" s="105" t="s">
        <v>931</v>
      </c>
      <c r="CV169" s="9">
        <v>7.5</v>
      </c>
      <c r="CW169" s="105" t="s">
        <v>1066</v>
      </c>
      <c r="CX169" s="9">
        <v>9</v>
      </c>
      <c r="CY169" s="105" t="s">
        <v>918</v>
      </c>
      <c r="CZ169" s="9">
        <v>7.5</v>
      </c>
    </row>
    <row r="170" spans="63:104" ht="22" x14ac:dyDescent="0.2">
      <c r="BK170" s="11"/>
      <c r="CD170" s="103"/>
      <c r="CE170" s="104"/>
      <c r="CF170" s="103"/>
      <c r="CG170" s="104"/>
      <c r="CU170" s="105" t="s">
        <v>932</v>
      </c>
      <c r="CV170" s="9">
        <v>7.5</v>
      </c>
      <c r="CW170" s="105" t="s">
        <v>1067</v>
      </c>
      <c r="CX170" s="9">
        <v>9</v>
      </c>
      <c r="CY170" s="105" t="s">
        <v>919</v>
      </c>
      <c r="CZ170" s="9">
        <v>7.5</v>
      </c>
    </row>
    <row r="171" spans="63:104" ht="22" x14ac:dyDescent="0.2">
      <c r="BK171" s="11"/>
      <c r="BQ171" s="14"/>
      <c r="CD171" s="103"/>
      <c r="CE171" s="104"/>
      <c r="CF171" s="103"/>
      <c r="CG171" s="104"/>
      <c r="CU171" s="105" t="s">
        <v>933</v>
      </c>
      <c r="CV171" s="9">
        <v>7.5</v>
      </c>
      <c r="CY171" s="105" t="s">
        <v>920</v>
      </c>
      <c r="CZ171" s="9">
        <v>7.5</v>
      </c>
    </row>
    <row r="172" spans="63:104" ht="33" x14ac:dyDescent="0.2">
      <c r="BK172" s="11"/>
      <c r="BQ172" s="14"/>
      <c r="CD172" s="103"/>
      <c r="CE172" s="104"/>
      <c r="CF172" s="103"/>
      <c r="CG172" s="104"/>
      <c r="CU172" s="105" t="s">
        <v>934</v>
      </c>
      <c r="CV172" s="9">
        <v>7.5</v>
      </c>
      <c r="CY172" s="105" t="s">
        <v>921</v>
      </c>
      <c r="CZ172" s="9">
        <v>7.5</v>
      </c>
    </row>
    <row r="173" spans="63:104" ht="33" x14ac:dyDescent="0.15">
      <c r="BK173" s="11"/>
      <c r="BQ173" s="14"/>
      <c r="CU173" s="105" t="s">
        <v>935</v>
      </c>
      <c r="CV173" s="9">
        <v>7.5</v>
      </c>
      <c r="CY173" s="105" t="s">
        <v>922</v>
      </c>
      <c r="CZ173" s="9">
        <v>7.5</v>
      </c>
    </row>
    <row r="174" spans="63:104" ht="22" x14ac:dyDescent="0.15">
      <c r="BK174" s="11"/>
      <c r="BQ174" s="14"/>
      <c r="CU174" s="105" t="s">
        <v>936</v>
      </c>
      <c r="CV174" s="9">
        <v>7.5</v>
      </c>
      <c r="CY174" s="105" t="s">
        <v>923</v>
      </c>
      <c r="CZ174" s="9">
        <v>7.5</v>
      </c>
    </row>
    <row r="175" spans="63:104" ht="44" x14ac:dyDescent="0.15">
      <c r="BK175" s="11"/>
      <c r="BQ175" s="14"/>
      <c r="CU175" s="105" t="s">
        <v>937</v>
      </c>
      <c r="CV175" s="9">
        <v>7.5</v>
      </c>
      <c r="CY175" s="105" t="s">
        <v>924</v>
      </c>
      <c r="CZ175" s="9">
        <v>7.5</v>
      </c>
    </row>
    <row r="176" spans="63:104" ht="33" x14ac:dyDescent="0.15">
      <c r="BK176" s="11"/>
      <c r="BQ176" s="14"/>
      <c r="CU176" s="105" t="s">
        <v>938</v>
      </c>
      <c r="CV176" s="9">
        <v>7.5</v>
      </c>
      <c r="CY176" s="105" t="s">
        <v>925</v>
      </c>
      <c r="CZ176" s="9">
        <v>7.5</v>
      </c>
    </row>
    <row r="177" spans="63:104" ht="33" x14ac:dyDescent="0.15">
      <c r="BK177" s="11"/>
      <c r="BQ177" s="14"/>
      <c r="CU177" s="105" t="s">
        <v>939</v>
      </c>
      <c r="CV177" s="9">
        <v>7.5</v>
      </c>
      <c r="CY177" s="105" t="s">
        <v>926</v>
      </c>
      <c r="CZ177" s="9">
        <v>7.5</v>
      </c>
    </row>
    <row r="178" spans="63:104" ht="22" x14ac:dyDescent="0.15">
      <c r="BK178" s="11"/>
      <c r="BQ178" s="14"/>
      <c r="CU178" s="105" t="s">
        <v>940</v>
      </c>
      <c r="CV178" s="9">
        <v>7.5</v>
      </c>
      <c r="CY178" s="105" t="s">
        <v>927</v>
      </c>
      <c r="CZ178" s="9">
        <v>7.5</v>
      </c>
    </row>
    <row r="179" spans="63:104" ht="22" x14ac:dyDescent="0.15">
      <c r="BK179" s="11"/>
      <c r="BQ179" s="14"/>
      <c r="CU179" s="105" t="s">
        <v>941</v>
      </c>
      <c r="CV179" s="9">
        <v>7.5</v>
      </c>
      <c r="CY179" s="105" t="s">
        <v>928</v>
      </c>
      <c r="CZ179" s="9">
        <v>7.5</v>
      </c>
    </row>
    <row r="180" spans="63:104" ht="22" x14ac:dyDescent="0.15">
      <c r="BK180" s="11"/>
      <c r="BQ180" s="14"/>
      <c r="CU180" s="105" t="s">
        <v>942</v>
      </c>
      <c r="CV180" s="9">
        <v>7.5</v>
      </c>
      <c r="CY180" s="105" t="s">
        <v>929</v>
      </c>
      <c r="CZ180" s="9">
        <v>7.5</v>
      </c>
    </row>
    <row r="181" spans="63:104" ht="33" x14ac:dyDescent="0.15">
      <c r="BK181" s="11"/>
      <c r="BQ181" s="14"/>
      <c r="CU181" s="105" t="s">
        <v>943</v>
      </c>
      <c r="CV181" s="9">
        <v>7.5</v>
      </c>
      <c r="CY181" s="105" t="s">
        <v>930</v>
      </c>
      <c r="CZ181" s="9">
        <v>7.5</v>
      </c>
    </row>
    <row r="182" spans="63:104" ht="33" x14ac:dyDescent="0.15">
      <c r="BK182" s="12"/>
      <c r="BQ182" s="14"/>
      <c r="CU182" s="105" t="s">
        <v>944</v>
      </c>
      <c r="CV182" s="9">
        <v>7.5</v>
      </c>
      <c r="CY182" s="105" t="s">
        <v>931</v>
      </c>
      <c r="CZ182" s="9">
        <v>7.5</v>
      </c>
    </row>
    <row r="183" spans="63:104" ht="22" x14ac:dyDescent="0.15">
      <c r="BK183" s="12"/>
      <c r="BQ183" s="14"/>
      <c r="CU183" s="105" t="s">
        <v>964</v>
      </c>
      <c r="CV183" s="9">
        <v>8</v>
      </c>
      <c r="CY183" s="105" t="s">
        <v>932</v>
      </c>
      <c r="CZ183" s="9">
        <v>7.5</v>
      </c>
    </row>
    <row r="184" spans="63:104" ht="22" x14ac:dyDescent="0.15">
      <c r="BK184" s="12"/>
      <c r="BQ184" s="14"/>
      <c r="CU184" s="105" t="s">
        <v>965</v>
      </c>
      <c r="CV184" s="9">
        <v>8</v>
      </c>
      <c r="CY184" s="105" t="s">
        <v>933</v>
      </c>
      <c r="CZ184" s="9">
        <v>7.5</v>
      </c>
    </row>
    <row r="185" spans="63:104" ht="33" x14ac:dyDescent="0.15">
      <c r="BK185" s="12"/>
      <c r="BQ185" s="14"/>
      <c r="CU185" s="105" t="s">
        <v>966</v>
      </c>
      <c r="CV185" s="9">
        <v>8</v>
      </c>
      <c r="CY185" s="105" t="s">
        <v>934</v>
      </c>
      <c r="CZ185" s="9">
        <v>7.5</v>
      </c>
    </row>
    <row r="186" spans="63:104" ht="33" x14ac:dyDescent="0.15">
      <c r="BK186" s="12"/>
      <c r="CU186" s="105" t="s">
        <v>967</v>
      </c>
      <c r="CV186" s="9">
        <v>8</v>
      </c>
      <c r="CY186" s="105" t="s">
        <v>935</v>
      </c>
      <c r="CZ186" s="9">
        <v>7.5</v>
      </c>
    </row>
    <row r="187" spans="63:104" ht="22" x14ac:dyDescent="0.15">
      <c r="BK187" s="11"/>
      <c r="CU187" s="105" t="s">
        <v>968</v>
      </c>
      <c r="CV187" s="9">
        <v>8</v>
      </c>
      <c r="CY187" s="105" t="s">
        <v>936</v>
      </c>
      <c r="CZ187" s="9">
        <v>7.5</v>
      </c>
    </row>
    <row r="188" spans="63:104" ht="22" x14ac:dyDescent="0.15">
      <c r="BK188" s="11"/>
      <c r="CU188" s="105" t="s">
        <v>969</v>
      </c>
      <c r="CV188" s="9">
        <v>8</v>
      </c>
      <c r="CY188" s="105" t="s">
        <v>937</v>
      </c>
      <c r="CZ188" s="9">
        <v>7.5</v>
      </c>
    </row>
    <row r="189" spans="63:104" ht="33" x14ac:dyDescent="0.15">
      <c r="BK189" s="11"/>
      <c r="CU189" s="105" t="s">
        <v>970</v>
      </c>
      <c r="CV189" s="9">
        <v>8</v>
      </c>
      <c r="CY189" s="105" t="s">
        <v>938</v>
      </c>
      <c r="CZ189" s="9">
        <v>7.5</v>
      </c>
    </row>
    <row r="190" spans="63:104" ht="33" x14ac:dyDescent="0.15">
      <c r="BK190" s="11"/>
      <c r="CU190" s="105" t="s">
        <v>971</v>
      </c>
      <c r="CV190" s="9">
        <v>8</v>
      </c>
      <c r="CY190" s="105" t="s">
        <v>939</v>
      </c>
      <c r="CZ190" s="9">
        <v>7.5</v>
      </c>
    </row>
    <row r="191" spans="63:104" ht="33" x14ac:dyDescent="0.15">
      <c r="BK191" s="11"/>
      <c r="CU191" s="105" t="s">
        <v>972</v>
      </c>
      <c r="CV191" s="9">
        <v>8</v>
      </c>
      <c r="CY191" s="105" t="s">
        <v>940</v>
      </c>
      <c r="CZ191" s="9">
        <v>7.5</v>
      </c>
    </row>
    <row r="192" spans="63:104" ht="33" x14ac:dyDescent="0.15">
      <c r="BK192" s="11"/>
      <c r="CU192" s="105" t="s">
        <v>973</v>
      </c>
      <c r="CV192" s="9">
        <v>8</v>
      </c>
      <c r="CY192" s="105" t="s">
        <v>941</v>
      </c>
      <c r="CZ192" s="9">
        <v>7.5</v>
      </c>
    </row>
    <row r="193" spans="52:104" ht="22" x14ac:dyDescent="0.15">
      <c r="BK193" s="11"/>
      <c r="CU193" s="105" t="s">
        <v>974</v>
      </c>
      <c r="CV193" s="9">
        <v>8</v>
      </c>
      <c r="CY193" s="105" t="s">
        <v>942</v>
      </c>
      <c r="CZ193" s="9">
        <v>7.5</v>
      </c>
    </row>
    <row r="194" spans="52:104" ht="33" x14ac:dyDescent="0.15">
      <c r="BK194" s="11"/>
      <c r="CU194" s="105" t="s">
        <v>975</v>
      </c>
      <c r="CV194" s="9">
        <v>8</v>
      </c>
      <c r="CY194" s="105" t="s">
        <v>943</v>
      </c>
      <c r="CZ194" s="9">
        <v>7.5</v>
      </c>
    </row>
    <row r="195" spans="52:104" ht="33" x14ac:dyDescent="0.15">
      <c r="BK195" s="11"/>
      <c r="CU195" s="105" t="s">
        <v>976</v>
      </c>
      <c r="CV195" s="9">
        <v>8</v>
      </c>
      <c r="CY195" s="105" t="s">
        <v>944</v>
      </c>
      <c r="CZ195" s="9">
        <v>7.5</v>
      </c>
    </row>
    <row r="196" spans="52:104" ht="22" x14ac:dyDescent="0.15">
      <c r="BK196" s="11"/>
      <c r="CU196" s="105" t="s">
        <v>977</v>
      </c>
      <c r="CV196" s="9">
        <v>8</v>
      </c>
      <c r="CY196" s="105" t="s">
        <v>964</v>
      </c>
      <c r="CZ196" s="9">
        <v>8</v>
      </c>
    </row>
    <row r="197" spans="52:104" ht="22" x14ac:dyDescent="0.15">
      <c r="BK197" s="11"/>
      <c r="CU197" s="105" t="s">
        <v>978</v>
      </c>
      <c r="CV197" s="9">
        <v>8</v>
      </c>
      <c r="CY197" s="105" t="s">
        <v>965</v>
      </c>
      <c r="CZ197" s="9">
        <v>8</v>
      </c>
    </row>
    <row r="198" spans="52:104" ht="22" x14ac:dyDescent="0.15">
      <c r="BK198" s="11"/>
      <c r="CU198" s="105" t="s">
        <v>979</v>
      </c>
      <c r="CV198" s="9">
        <v>8</v>
      </c>
      <c r="CY198" s="105" t="s">
        <v>966</v>
      </c>
      <c r="CZ198" s="9">
        <v>8</v>
      </c>
    </row>
    <row r="199" spans="52:104" ht="22" x14ac:dyDescent="0.15">
      <c r="BK199" s="11"/>
      <c r="BV199" s="13"/>
      <c r="CU199" s="105" t="s">
        <v>980</v>
      </c>
      <c r="CV199" s="9">
        <v>8</v>
      </c>
      <c r="CY199" s="105" t="s">
        <v>967</v>
      </c>
      <c r="CZ199" s="9">
        <v>8</v>
      </c>
    </row>
    <row r="200" spans="52:104" ht="22" x14ac:dyDescent="0.15">
      <c r="BK200" s="11"/>
      <c r="BV200" s="13"/>
      <c r="CU200" s="105" t="s">
        <v>981</v>
      </c>
      <c r="CV200" s="9">
        <v>8</v>
      </c>
      <c r="CY200" s="105" t="s">
        <v>968</v>
      </c>
      <c r="CZ200" s="9">
        <v>8</v>
      </c>
    </row>
    <row r="201" spans="52:104" ht="22" x14ac:dyDescent="0.15">
      <c r="BK201" s="11"/>
      <c r="BV201" s="15"/>
      <c r="CU201" s="105" t="s">
        <v>982</v>
      </c>
      <c r="CV201" s="9">
        <v>8</v>
      </c>
      <c r="CY201" s="105" t="s">
        <v>969</v>
      </c>
      <c r="CZ201" s="9">
        <v>8</v>
      </c>
    </row>
    <row r="202" spans="52:104" ht="33" x14ac:dyDescent="0.15">
      <c r="BK202" s="11"/>
      <c r="BV202" s="15"/>
      <c r="CU202" s="105" t="s">
        <v>983</v>
      </c>
      <c r="CV202" s="9">
        <v>8</v>
      </c>
      <c r="CY202" s="105" t="s">
        <v>970</v>
      </c>
      <c r="CZ202" s="9">
        <v>8</v>
      </c>
    </row>
    <row r="203" spans="52:104" ht="33" x14ac:dyDescent="0.15">
      <c r="BK203" s="11"/>
      <c r="BV203" s="15"/>
      <c r="CU203" s="105" t="s">
        <v>984</v>
      </c>
      <c r="CV203" s="9">
        <v>8</v>
      </c>
      <c r="CY203" s="105" t="s">
        <v>971</v>
      </c>
      <c r="CZ203" s="9">
        <v>8</v>
      </c>
    </row>
    <row r="204" spans="52:104" ht="33" x14ac:dyDescent="0.15">
      <c r="BK204" s="11"/>
      <c r="BV204" s="15"/>
      <c r="CU204" s="105" t="s">
        <v>985</v>
      </c>
      <c r="CV204" s="9">
        <v>8</v>
      </c>
      <c r="CY204" s="105" t="s">
        <v>972</v>
      </c>
      <c r="CZ204" s="9">
        <v>8</v>
      </c>
    </row>
    <row r="205" spans="52:104" ht="33" x14ac:dyDescent="0.15">
      <c r="BK205" s="11"/>
      <c r="BV205" s="15"/>
      <c r="CU205" s="105" t="s">
        <v>986</v>
      </c>
      <c r="CV205" s="9">
        <v>8</v>
      </c>
      <c r="CY205" s="105" t="s">
        <v>973</v>
      </c>
      <c r="CZ205" s="9">
        <v>8</v>
      </c>
    </row>
    <row r="206" spans="52:104" ht="22" x14ac:dyDescent="0.15">
      <c r="BK206" s="11"/>
      <c r="BV206" s="15"/>
      <c r="CU206" s="105" t="s">
        <v>1012</v>
      </c>
      <c r="CV206" s="9">
        <v>8.5</v>
      </c>
      <c r="CY206" s="105" t="s">
        <v>974</v>
      </c>
      <c r="CZ206" s="9">
        <v>8</v>
      </c>
    </row>
    <row r="207" spans="52:104" ht="22" x14ac:dyDescent="0.15">
      <c r="AZ207" s="9" t="s">
        <v>185</v>
      </c>
      <c r="BK207" s="12"/>
      <c r="BV207" s="15"/>
      <c r="CU207" s="105" t="s">
        <v>1013</v>
      </c>
      <c r="CV207" s="9">
        <v>8.5</v>
      </c>
      <c r="CY207" s="105" t="s">
        <v>975</v>
      </c>
      <c r="CZ207" s="9">
        <v>8</v>
      </c>
    </row>
    <row r="208" spans="52:104" ht="33" x14ac:dyDescent="0.15">
      <c r="BK208" s="12"/>
      <c r="BV208" s="15"/>
      <c r="CU208" s="105" t="s">
        <v>1014</v>
      </c>
      <c r="CV208" s="9">
        <v>8.5</v>
      </c>
      <c r="CY208" s="105" t="s">
        <v>976</v>
      </c>
      <c r="CZ208" s="9">
        <v>8</v>
      </c>
    </row>
    <row r="209" spans="63:104" ht="22" x14ac:dyDescent="0.15">
      <c r="BK209" s="12"/>
      <c r="BV209" s="15"/>
      <c r="CU209" s="105" t="s">
        <v>1015</v>
      </c>
      <c r="CV209" s="9">
        <v>8.5</v>
      </c>
      <c r="CY209" s="105" t="s">
        <v>977</v>
      </c>
      <c r="CZ209" s="9">
        <v>8</v>
      </c>
    </row>
    <row r="210" spans="63:104" ht="22" x14ac:dyDescent="0.15">
      <c r="BK210" s="12"/>
      <c r="BV210" s="15"/>
      <c r="CU210" s="105" t="s">
        <v>1016</v>
      </c>
      <c r="CV210" s="9">
        <v>8.5</v>
      </c>
      <c r="CY210" s="105" t="s">
        <v>978</v>
      </c>
      <c r="CZ210" s="9">
        <v>8</v>
      </c>
    </row>
    <row r="211" spans="63:104" ht="33" x14ac:dyDescent="0.15">
      <c r="BK211" s="12"/>
      <c r="BV211" s="15"/>
      <c r="CU211" s="105" t="s">
        <v>1017</v>
      </c>
      <c r="CV211" s="9">
        <v>8.5</v>
      </c>
      <c r="CY211" s="105" t="s">
        <v>979</v>
      </c>
      <c r="CZ211" s="9">
        <v>8</v>
      </c>
    </row>
    <row r="212" spans="63:104" ht="33" x14ac:dyDescent="0.15">
      <c r="BK212" s="12"/>
      <c r="BV212" s="15"/>
      <c r="CU212" s="105" t="s">
        <v>1018</v>
      </c>
      <c r="CV212" s="9">
        <v>8.5</v>
      </c>
      <c r="CY212" s="105" t="s">
        <v>980</v>
      </c>
      <c r="CZ212" s="9">
        <v>8</v>
      </c>
    </row>
    <row r="213" spans="63:104" ht="33" x14ac:dyDescent="0.15">
      <c r="BK213" s="12"/>
      <c r="BV213" s="15"/>
      <c r="CU213" s="105" t="s">
        <v>1019</v>
      </c>
      <c r="CV213" s="9">
        <v>8.5</v>
      </c>
      <c r="CY213" s="105" t="s">
        <v>981</v>
      </c>
      <c r="CZ213" s="9">
        <v>8</v>
      </c>
    </row>
    <row r="214" spans="63:104" ht="22" x14ac:dyDescent="0.15">
      <c r="BK214" s="11"/>
      <c r="BV214" s="16"/>
      <c r="CU214" s="105" t="s">
        <v>1020</v>
      </c>
      <c r="CV214" s="9">
        <v>8.5</v>
      </c>
      <c r="CY214" s="105" t="s">
        <v>982</v>
      </c>
      <c r="CZ214" s="9">
        <v>8</v>
      </c>
    </row>
    <row r="215" spans="63:104" ht="22" x14ac:dyDescent="0.15">
      <c r="BK215" s="11"/>
      <c r="CU215" s="105" t="s">
        <v>1021</v>
      </c>
      <c r="CV215" s="9">
        <v>8.5</v>
      </c>
      <c r="CY215" s="105" t="s">
        <v>983</v>
      </c>
      <c r="CZ215" s="9">
        <v>8</v>
      </c>
    </row>
    <row r="216" spans="63:104" ht="33" x14ac:dyDescent="0.15">
      <c r="BK216" s="11"/>
      <c r="CU216" s="105" t="s">
        <v>1022</v>
      </c>
      <c r="CV216" s="9">
        <v>8.5</v>
      </c>
      <c r="CY216" s="105" t="s">
        <v>984</v>
      </c>
      <c r="CZ216" s="9">
        <v>8</v>
      </c>
    </row>
    <row r="217" spans="63:104" ht="33" x14ac:dyDescent="0.15">
      <c r="BK217" s="11"/>
      <c r="CU217" s="105" t="s">
        <v>1023</v>
      </c>
      <c r="CV217" s="9">
        <v>8.5</v>
      </c>
      <c r="CY217" s="105" t="s">
        <v>985</v>
      </c>
      <c r="CZ217" s="9">
        <v>8</v>
      </c>
    </row>
    <row r="218" spans="63:104" ht="33" x14ac:dyDescent="0.15">
      <c r="BK218" s="11"/>
      <c r="CU218" s="105" t="s">
        <v>1024</v>
      </c>
      <c r="CV218" s="9">
        <v>8.5</v>
      </c>
      <c r="CY218" s="105" t="s">
        <v>986</v>
      </c>
      <c r="CZ218" s="9">
        <v>8</v>
      </c>
    </row>
    <row r="219" spans="63:104" x14ac:dyDescent="0.15">
      <c r="BK219" s="11"/>
      <c r="CU219" s="105" t="s">
        <v>1025</v>
      </c>
      <c r="CV219" s="9">
        <v>8.5</v>
      </c>
      <c r="CY219" s="105" t="s">
        <v>987</v>
      </c>
      <c r="CZ219" s="9">
        <v>8</v>
      </c>
    </row>
    <row r="220" spans="63:104" ht="22" x14ac:dyDescent="0.15">
      <c r="BK220" s="11"/>
      <c r="CU220" s="105" t="s">
        <v>1026</v>
      </c>
      <c r="CV220" s="9">
        <v>8.5</v>
      </c>
      <c r="CY220" s="105" t="s">
        <v>988</v>
      </c>
      <c r="CZ220" s="9">
        <v>8</v>
      </c>
    </row>
    <row r="221" spans="63:104" ht="33" x14ac:dyDescent="0.15">
      <c r="BK221" s="11"/>
      <c r="CU221" s="105" t="s">
        <v>1027</v>
      </c>
      <c r="CV221" s="9">
        <v>8.5</v>
      </c>
      <c r="CY221" s="105" t="s">
        <v>989</v>
      </c>
      <c r="CZ221" s="9">
        <v>8</v>
      </c>
    </row>
    <row r="222" spans="63:104" ht="22" x14ac:dyDescent="0.15">
      <c r="BK222" s="11"/>
      <c r="CU222" s="105" t="s">
        <v>1028</v>
      </c>
      <c r="CV222" s="9">
        <v>8.5</v>
      </c>
      <c r="CY222" s="105" t="s">
        <v>990</v>
      </c>
      <c r="CZ222" s="9">
        <v>8</v>
      </c>
    </row>
    <row r="223" spans="63:104" ht="22" x14ac:dyDescent="0.15">
      <c r="BK223" s="11"/>
      <c r="CU223" s="105" t="s">
        <v>1029</v>
      </c>
      <c r="CV223" s="9">
        <v>8.5</v>
      </c>
      <c r="CY223" s="105" t="s">
        <v>991</v>
      </c>
      <c r="CZ223" s="9">
        <v>8</v>
      </c>
    </row>
    <row r="224" spans="63:104" ht="33" x14ac:dyDescent="0.15">
      <c r="BK224" s="11"/>
      <c r="CU224" s="105" t="s">
        <v>1030</v>
      </c>
      <c r="CV224" s="9">
        <v>8.5</v>
      </c>
      <c r="CY224" s="105" t="s">
        <v>992</v>
      </c>
      <c r="CZ224" s="9">
        <v>8</v>
      </c>
    </row>
    <row r="225" spans="63:104" ht="22" x14ac:dyDescent="0.15">
      <c r="BK225" s="11"/>
      <c r="CU225" s="105" t="s">
        <v>1031</v>
      </c>
      <c r="CV225" s="9">
        <v>8.5</v>
      </c>
      <c r="CY225" s="105" t="s">
        <v>993</v>
      </c>
      <c r="CZ225" s="9">
        <v>8</v>
      </c>
    </row>
    <row r="226" spans="63:104" ht="33" x14ac:dyDescent="0.15">
      <c r="CU226" s="105" t="s">
        <v>1032</v>
      </c>
      <c r="CV226" s="9">
        <v>8.5</v>
      </c>
      <c r="CY226" s="105" t="s">
        <v>994</v>
      </c>
      <c r="CZ226" s="9">
        <v>8</v>
      </c>
    </row>
    <row r="227" spans="63:104" ht="33" x14ac:dyDescent="0.15">
      <c r="CU227" s="105" t="s">
        <v>1085</v>
      </c>
      <c r="CV227" s="9">
        <v>9</v>
      </c>
      <c r="CY227" s="105" t="s">
        <v>995</v>
      </c>
      <c r="CZ227" s="9">
        <v>8</v>
      </c>
    </row>
    <row r="228" spans="63:104" ht="44" x14ac:dyDescent="0.15">
      <c r="CU228" s="105" t="s">
        <v>1069</v>
      </c>
      <c r="CV228" s="9">
        <v>9</v>
      </c>
      <c r="CY228" s="105" t="s">
        <v>996</v>
      </c>
      <c r="CZ228" s="9">
        <v>8</v>
      </c>
    </row>
    <row r="229" spans="63:104" ht="22" x14ac:dyDescent="0.15">
      <c r="CU229" s="105" t="s">
        <v>1070</v>
      </c>
      <c r="CV229" s="9">
        <v>9</v>
      </c>
      <c r="CY229" s="105" t="s">
        <v>997</v>
      </c>
      <c r="CZ229" s="9">
        <v>8</v>
      </c>
    </row>
    <row r="230" spans="63:104" ht="44" x14ac:dyDescent="0.15">
      <c r="BV230" s="1"/>
      <c r="CU230" s="105" t="s">
        <v>1071</v>
      </c>
      <c r="CV230" s="9">
        <v>9</v>
      </c>
      <c r="CY230" s="105" t="s">
        <v>998</v>
      </c>
      <c r="CZ230" s="9">
        <v>8</v>
      </c>
    </row>
    <row r="231" spans="63:104" ht="33" x14ac:dyDescent="0.15">
      <c r="CU231" s="105" t="s">
        <v>1072</v>
      </c>
      <c r="CV231" s="9">
        <v>9</v>
      </c>
      <c r="CY231" s="105" t="s">
        <v>999</v>
      </c>
      <c r="CZ231" s="9">
        <v>8</v>
      </c>
    </row>
    <row r="232" spans="63:104" ht="33" x14ac:dyDescent="0.15">
      <c r="CU232" s="105" t="s">
        <v>1073</v>
      </c>
      <c r="CV232" s="9">
        <v>9</v>
      </c>
      <c r="CY232" s="105" t="s">
        <v>1000</v>
      </c>
      <c r="CZ232" s="9">
        <v>8</v>
      </c>
    </row>
    <row r="233" spans="63:104" ht="22" x14ac:dyDescent="0.15">
      <c r="CU233" s="105" t="s">
        <v>1074</v>
      </c>
      <c r="CV233" s="9">
        <v>9</v>
      </c>
      <c r="CY233" s="105" t="s">
        <v>1001</v>
      </c>
      <c r="CZ233" s="9">
        <v>8</v>
      </c>
    </row>
    <row r="234" spans="63:104" ht="33" x14ac:dyDescent="0.15">
      <c r="BV234" s="1"/>
      <c r="CU234" s="105" t="s">
        <v>1075</v>
      </c>
      <c r="CV234" s="9">
        <v>9</v>
      </c>
      <c r="CY234" s="105" t="s">
        <v>1002</v>
      </c>
      <c r="CZ234" s="9">
        <v>8</v>
      </c>
    </row>
    <row r="235" spans="63:104" ht="33" x14ac:dyDescent="0.15">
      <c r="BV235" s="1"/>
      <c r="CU235" s="105" t="s">
        <v>1076</v>
      </c>
      <c r="CV235" s="9">
        <v>9</v>
      </c>
      <c r="CY235" s="105" t="s">
        <v>1003</v>
      </c>
      <c r="CZ235" s="9">
        <v>8</v>
      </c>
    </row>
    <row r="236" spans="63:104" ht="33" x14ac:dyDescent="0.15">
      <c r="BV236" s="1"/>
      <c r="CU236" s="105" t="s">
        <v>1077</v>
      </c>
      <c r="CV236" s="9">
        <v>9</v>
      </c>
      <c r="CY236" s="105" t="s">
        <v>1004</v>
      </c>
      <c r="CZ236" s="9">
        <v>8</v>
      </c>
    </row>
    <row r="237" spans="63:104" ht="22" x14ac:dyDescent="0.15">
      <c r="BV237" s="1"/>
      <c r="CU237" s="105" t="s">
        <v>1078</v>
      </c>
      <c r="CV237" s="9">
        <v>9</v>
      </c>
      <c r="CY237" s="105" t="s">
        <v>1005</v>
      </c>
      <c r="CZ237" s="9">
        <v>8</v>
      </c>
    </row>
    <row r="238" spans="63:104" ht="22" x14ac:dyDescent="0.15">
      <c r="BV238" s="1"/>
      <c r="CU238" s="105" t="s">
        <v>1079</v>
      </c>
      <c r="CV238" s="9">
        <v>9</v>
      </c>
      <c r="CY238" s="105" t="s">
        <v>1006</v>
      </c>
      <c r="CZ238" s="9">
        <v>8</v>
      </c>
    </row>
    <row r="239" spans="63:104" ht="22" x14ac:dyDescent="0.15">
      <c r="BV239" s="1"/>
      <c r="CU239" s="105" t="s">
        <v>1080</v>
      </c>
      <c r="CV239" s="9">
        <v>9</v>
      </c>
      <c r="CY239" s="105" t="s">
        <v>1007</v>
      </c>
      <c r="CZ239" s="9">
        <v>8</v>
      </c>
    </row>
    <row r="240" spans="63:104" ht="33" x14ac:dyDescent="0.15">
      <c r="BV240" s="1"/>
      <c r="CU240" s="105" t="s">
        <v>1081</v>
      </c>
      <c r="CV240" s="9">
        <v>9</v>
      </c>
      <c r="CY240" s="105" t="s">
        <v>1008</v>
      </c>
      <c r="CZ240" s="9">
        <v>8</v>
      </c>
    </row>
    <row r="241" spans="74:104" ht="22" x14ac:dyDescent="0.15">
      <c r="BV241" s="1"/>
      <c r="CU241" s="105" t="s">
        <v>1086</v>
      </c>
      <c r="CV241" s="9">
        <v>9</v>
      </c>
      <c r="CY241" s="105" t="s">
        <v>1009</v>
      </c>
      <c r="CZ241" s="9">
        <v>8</v>
      </c>
    </row>
    <row r="242" spans="74:104" ht="33" x14ac:dyDescent="0.15">
      <c r="BV242" s="1"/>
      <c r="CU242" s="105" t="s">
        <v>1087</v>
      </c>
      <c r="CV242" s="9">
        <v>9</v>
      </c>
      <c r="CY242" s="105" t="s">
        <v>1010</v>
      </c>
      <c r="CZ242" s="9">
        <v>8</v>
      </c>
    </row>
    <row r="243" spans="74:104" ht="33" x14ac:dyDescent="0.15">
      <c r="BV243" s="1"/>
      <c r="CU243" s="105" t="s">
        <v>1088</v>
      </c>
      <c r="CV243" s="9">
        <v>9</v>
      </c>
      <c r="CY243" s="105" t="s">
        <v>1011</v>
      </c>
      <c r="CZ243" s="9">
        <v>8</v>
      </c>
    </row>
    <row r="244" spans="74:104" ht="22" x14ac:dyDescent="0.15">
      <c r="BV244" s="1"/>
      <c r="CU244" s="105"/>
      <c r="CY244" s="105" t="s">
        <v>1012</v>
      </c>
      <c r="CZ244" s="9">
        <v>8.5</v>
      </c>
    </row>
    <row r="245" spans="74:104" ht="22" x14ac:dyDescent="0.15">
      <c r="BV245" s="1"/>
      <c r="CU245" s="105"/>
      <c r="CY245" s="105" t="s">
        <v>1013</v>
      </c>
      <c r="CZ245" s="9">
        <v>8.5</v>
      </c>
    </row>
    <row r="246" spans="74:104" ht="22" x14ac:dyDescent="0.15">
      <c r="BV246" s="1"/>
      <c r="CU246" s="105"/>
      <c r="CY246" s="105" t="s">
        <v>1014</v>
      </c>
      <c r="CZ246" s="9">
        <v>8.5</v>
      </c>
    </row>
    <row r="247" spans="74:104" ht="22" x14ac:dyDescent="0.15">
      <c r="BV247" s="1"/>
      <c r="CU247" s="105"/>
      <c r="CY247" s="105" t="s">
        <v>1015</v>
      </c>
      <c r="CZ247" s="9">
        <v>8.5</v>
      </c>
    </row>
    <row r="248" spans="74:104" ht="22" x14ac:dyDescent="0.15">
      <c r="BV248" s="1"/>
      <c r="CU248" s="105"/>
      <c r="CY248" s="105" t="s">
        <v>1016</v>
      </c>
      <c r="CZ248" s="9">
        <v>8.5</v>
      </c>
    </row>
    <row r="249" spans="74:104" ht="33" x14ac:dyDescent="0.15">
      <c r="BV249" s="1"/>
      <c r="CU249" s="105"/>
      <c r="CY249" s="105" t="s">
        <v>1017</v>
      </c>
      <c r="CZ249" s="9">
        <v>8.5</v>
      </c>
    </row>
    <row r="250" spans="74:104" ht="33" x14ac:dyDescent="0.15">
      <c r="BV250" s="1"/>
      <c r="CU250" s="105"/>
      <c r="CY250" s="105" t="s">
        <v>1018</v>
      </c>
      <c r="CZ250" s="9">
        <v>8.5</v>
      </c>
    </row>
    <row r="251" spans="74:104" ht="33" x14ac:dyDescent="0.15">
      <c r="BV251" s="1"/>
      <c r="CU251" s="105"/>
      <c r="CY251" s="105" t="s">
        <v>1019</v>
      </c>
      <c r="CZ251" s="9">
        <v>8.5</v>
      </c>
    </row>
    <row r="252" spans="74:104" ht="22" x14ac:dyDescent="0.15">
      <c r="BV252" s="1"/>
      <c r="CU252" s="105"/>
      <c r="CY252" s="105" t="s">
        <v>1020</v>
      </c>
      <c r="CZ252" s="9">
        <v>8.5</v>
      </c>
    </row>
    <row r="253" spans="74:104" ht="22" x14ac:dyDescent="0.15">
      <c r="BV253" s="1"/>
      <c r="CU253" s="105"/>
      <c r="CY253" s="105" t="s">
        <v>1021</v>
      </c>
      <c r="CZ253" s="9">
        <v>8.5</v>
      </c>
    </row>
    <row r="254" spans="74:104" ht="33" x14ac:dyDescent="0.15">
      <c r="CU254" s="105"/>
      <c r="CY254" s="105" t="s">
        <v>1022</v>
      </c>
      <c r="CZ254" s="9">
        <v>8.5</v>
      </c>
    </row>
    <row r="255" spans="74:104" ht="22" x14ac:dyDescent="0.15">
      <c r="CY255" s="105" t="s">
        <v>1023</v>
      </c>
      <c r="CZ255" s="9">
        <v>8.5</v>
      </c>
    </row>
    <row r="256" spans="74:104" x14ac:dyDescent="0.15">
      <c r="CY256" s="105" t="s">
        <v>1024</v>
      </c>
      <c r="CZ256" s="9">
        <v>8.5</v>
      </c>
    </row>
    <row r="257" spans="103:104" x14ac:dyDescent="0.15">
      <c r="CY257" s="105" t="s">
        <v>1025</v>
      </c>
      <c r="CZ257" s="9">
        <v>8.5</v>
      </c>
    </row>
    <row r="258" spans="103:104" ht="22" x14ac:dyDescent="0.15">
      <c r="CY258" s="105" t="s">
        <v>1026</v>
      </c>
      <c r="CZ258" s="9">
        <v>8.5</v>
      </c>
    </row>
    <row r="259" spans="103:104" ht="22" x14ac:dyDescent="0.15">
      <c r="CY259" s="105" t="s">
        <v>1027</v>
      </c>
      <c r="CZ259" s="9">
        <v>8.5</v>
      </c>
    </row>
    <row r="260" spans="103:104" ht="22" x14ac:dyDescent="0.15">
      <c r="CY260" s="105" t="s">
        <v>1028</v>
      </c>
      <c r="CZ260" s="9">
        <v>8.5</v>
      </c>
    </row>
    <row r="261" spans="103:104" ht="22" x14ac:dyDescent="0.15">
      <c r="CY261" s="105" t="s">
        <v>1029</v>
      </c>
      <c r="CZ261" s="9">
        <v>8.5</v>
      </c>
    </row>
    <row r="262" spans="103:104" ht="22" x14ac:dyDescent="0.15">
      <c r="CY262" s="105" t="s">
        <v>1030</v>
      </c>
      <c r="CZ262" s="9">
        <v>8.5</v>
      </c>
    </row>
    <row r="263" spans="103:104" ht="22" x14ac:dyDescent="0.15">
      <c r="CY263" s="105" t="s">
        <v>1031</v>
      </c>
      <c r="CZ263" s="9">
        <v>8.5</v>
      </c>
    </row>
    <row r="264" spans="103:104" ht="33" x14ac:dyDescent="0.15">
      <c r="CY264" s="105" t="s">
        <v>1032</v>
      </c>
      <c r="CZ264" s="9">
        <v>8.5</v>
      </c>
    </row>
    <row r="265" spans="103:104" ht="22" x14ac:dyDescent="0.15">
      <c r="CY265" s="105" t="s">
        <v>1068</v>
      </c>
      <c r="CZ265" s="9">
        <v>9</v>
      </c>
    </row>
    <row r="266" spans="103:104" ht="22" x14ac:dyDescent="0.15">
      <c r="CY266" s="105" t="s">
        <v>1069</v>
      </c>
      <c r="CZ266" s="9">
        <v>9</v>
      </c>
    </row>
    <row r="267" spans="103:104" ht="22" x14ac:dyDescent="0.15">
      <c r="CY267" s="105" t="s">
        <v>1070</v>
      </c>
      <c r="CZ267" s="9">
        <v>9</v>
      </c>
    </row>
    <row r="268" spans="103:104" ht="44" x14ac:dyDescent="0.15">
      <c r="CY268" s="105" t="s">
        <v>1071</v>
      </c>
      <c r="CZ268" s="9">
        <v>9</v>
      </c>
    </row>
    <row r="269" spans="103:104" ht="33" x14ac:dyDescent="0.15">
      <c r="CY269" s="105" t="s">
        <v>1072</v>
      </c>
      <c r="CZ269" s="9">
        <v>9</v>
      </c>
    </row>
    <row r="270" spans="103:104" ht="33" x14ac:dyDescent="0.15">
      <c r="CY270" s="105" t="s">
        <v>1073</v>
      </c>
      <c r="CZ270" s="9">
        <v>9</v>
      </c>
    </row>
    <row r="271" spans="103:104" ht="22" x14ac:dyDescent="0.15">
      <c r="CY271" s="105" t="s">
        <v>1074</v>
      </c>
      <c r="CZ271" s="9">
        <v>9</v>
      </c>
    </row>
    <row r="272" spans="103:104" ht="33" x14ac:dyDescent="0.15">
      <c r="CY272" s="105" t="s">
        <v>1075</v>
      </c>
      <c r="CZ272" s="9">
        <v>9</v>
      </c>
    </row>
    <row r="273" spans="103:104" ht="33" x14ac:dyDescent="0.15">
      <c r="CY273" s="105" t="s">
        <v>1076</v>
      </c>
      <c r="CZ273" s="9">
        <v>9</v>
      </c>
    </row>
    <row r="274" spans="103:104" ht="33" x14ac:dyDescent="0.15">
      <c r="CY274" s="105" t="s">
        <v>1077</v>
      </c>
      <c r="CZ274" s="9">
        <v>9</v>
      </c>
    </row>
    <row r="275" spans="103:104" x14ac:dyDescent="0.15">
      <c r="CY275" s="105" t="s">
        <v>1078</v>
      </c>
      <c r="CZ275" s="9">
        <v>9</v>
      </c>
    </row>
    <row r="276" spans="103:104" ht="22" x14ac:dyDescent="0.15">
      <c r="CY276" s="105" t="s">
        <v>1079</v>
      </c>
      <c r="CZ276" s="9">
        <v>9</v>
      </c>
    </row>
    <row r="277" spans="103:104" ht="22" x14ac:dyDescent="0.15">
      <c r="CY277" s="105" t="s">
        <v>1080</v>
      </c>
      <c r="CZ277" s="9">
        <v>9</v>
      </c>
    </row>
    <row r="278" spans="103:104" ht="22" x14ac:dyDescent="0.15">
      <c r="CY278" s="105" t="s">
        <v>1081</v>
      </c>
      <c r="CZ278" s="9">
        <v>9</v>
      </c>
    </row>
    <row r="279" spans="103:104" ht="22" x14ac:dyDescent="0.15">
      <c r="CY279" s="105" t="s">
        <v>1082</v>
      </c>
      <c r="CZ279" s="9">
        <v>9</v>
      </c>
    </row>
    <row r="280" spans="103:104" ht="33" x14ac:dyDescent="0.15">
      <c r="CY280" s="105" t="s">
        <v>1083</v>
      </c>
      <c r="CZ280" s="9">
        <v>9</v>
      </c>
    </row>
    <row r="281" spans="103:104" ht="44" x14ac:dyDescent="0.15">
      <c r="CY281" s="105" t="s">
        <v>1084</v>
      </c>
      <c r="CZ281" s="9">
        <v>9</v>
      </c>
    </row>
    <row r="282" spans="103:104" ht="22" x14ac:dyDescent="0.15">
      <c r="CY282" s="105" t="s">
        <v>1052</v>
      </c>
      <c r="CZ282" s="9">
        <v>9</v>
      </c>
    </row>
    <row r="283" spans="103:104" ht="33" x14ac:dyDescent="0.15">
      <c r="CY283" s="105" t="s">
        <v>1053</v>
      </c>
      <c r="CZ283" s="9">
        <v>9</v>
      </c>
    </row>
    <row r="284" spans="103:104" ht="22" x14ac:dyDescent="0.15">
      <c r="CY284" s="105" t="s">
        <v>1054</v>
      </c>
      <c r="CZ284" s="9">
        <v>9</v>
      </c>
    </row>
    <row r="285" spans="103:104" ht="33" x14ac:dyDescent="0.15">
      <c r="CY285" s="105" t="s">
        <v>1055</v>
      </c>
      <c r="CZ285" s="9">
        <v>9</v>
      </c>
    </row>
    <row r="286" spans="103:104" ht="33" x14ac:dyDescent="0.15">
      <c r="CY286" s="105" t="s">
        <v>1056</v>
      </c>
      <c r="CZ286" s="9">
        <v>9</v>
      </c>
    </row>
    <row r="287" spans="103:104" ht="44" x14ac:dyDescent="0.15">
      <c r="CY287" s="105" t="s">
        <v>1057</v>
      </c>
      <c r="CZ287" s="9">
        <v>9</v>
      </c>
    </row>
    <row r="288" spans="103:104" ht="22" x14ac:dyDescent="0.15">
      <c r="CY288" s="105" t="s">
        <v>1058</v>
      </c>
      <c r="CZ288" s="9">
        <v>9</v>
      </c>
    </row>
    <row r="289" spans="103:104" ht="44" x14ac:dyDescent="0.15">
      <c r="CY289" s="105" t="s">
        <v>1059</v>
      </c>
      <c r="CZ289" s="9">
        <v>9</v>
      </c>
    </row>
    <row r="290" spans="103:104" ht="44" x14ac:dyDescent="0.15">
      <c r="CY290" s="105" t="s">
        <v>1060</v>
      </c>
      <c r="CZ290" s="9">
        <v>9</v>
      </c>
    </row>
    <row r="291" spans="103:104" ht="44" x14ac:dyDescent="0.15">
      <c r="CY291" s="105" t="s">
        <v>1061</v>
      </c>
      <c r="CZ291" s="9">
        <v>9</v>
      </c>
    </row>
    <row r="292" spans="103:104" ht="22" x14ac:dyDescent="0.15">
      <c r="CY292" s="105" t="s">
        <v>1062</v>
      </c>
      <c r="CZ292" s="9">
        <v>9</v>
      </c>
    </row>
    <row r="293" spans="103:104" ht="22" x14ac:dyDescent="0.15">
      <c r="CY293" s="105" t="s">
        <v>1063</v>
      </c>
      <c r="CZ293" s="9">
        <v>9</v>
      </c>
    </row>
    <row r="294" spans="103:104" x14ac:dyDescent="0.15">
      <c r="CY294" s="105" t="s">
        <v>1064</v>
      </c>
      <c r="CZ294" s="9">
        <v>9</v>
      </c>
    </row>
    <row r="295" spans="103:104" ht="22" x14ac:dyDescent="0.15">
      <c r="CY295" s="105" t="s">
        <v>1065</v>
      </c>
      <c r="CZ295" s="9">
        <v>9</v>
      </c>
    </row>
    <row r="296" spans="103:104" ht="44" x14ac:dyDescent="0.15">
      <c r="CY296" s="105" t="s">
        <v>1066</v>
      </c>
      <c r="CZ296" s="9">
        <v>9</v>
      </c>
    </row>
    <row r="297" spans="103:104" x14ac:dyDescent="0.15">
      <c r="CY297" s="105" t="s">
        <v>1067</v>
      </c>
      <c r="CZ297" s="9">
        <v>9</v>
      </c>
    </row>
    <row r="298" spans="103:104" x14ac:dyDescent="0.15">
      <c r="CY298" s="105"/>
    </row>
    <row r="299" spans="103:104" x14ac:dyDescent="0.15">
      <c r="CY299" s="105"/>
    </row>
    <row r="300" spans="103:104" x14ac:dyDescent="0.15">
      <c r="CY300" s="105"/>
    </row>
    <row r="301" spans="103:104" x14ac:dyDescent="0.15">
      <c r="CY301" s="105"/>
    </row>
    <row r="302" spans="103:104" x14ac:dyDescent="0.15">
      <c r="CY302" s="105"/>
    </row>
    <row r="303" spans="103:104" x14ac:dyDescent="0.15">
      <c r="CY303" s="105"/>
    </row>
    <row r="304" spans="103:104" x14ac:dyDescent="0.15">
      <c r="CY304" s="105"/>
    </row>
    <row r="305" spans="103:103" x14ac:dyDescent="0.15">
      <c r="CY305" s="105"/>
    </row>
    <row r="306" spans="103:103" x14ac:dyDescent="0.15">
      <c r="CY306" s="105"/>
    </row>
    <row r="307" spans="103:103" x14ac:dyDescent="0.15">
      <c r="CY307" s="105"/>
    </row>
    <row r="308" spans="103:103" x14ac:dyDescent="0.15">
      <c r="CY308" s="105"/>
    </row>
    <row r="392" spans="63:63" x14ac:dyDescent="0.15">
      <c r="BK392" s="1"/>
    </row>
    <row r="393" spans="63:63" x14ac:dyDescent="0.15">
      <c r="BK393" s="1"/>
    </row>
    <row r="394" spans="63:63" x14ac:dyDescent="0.15">
      <c r="BK394" s="1"/>
    </row>
    <row r="409" spans="63:63" x14ac:dyDescent="0.15">
      <c r="BK409" s="1"/>
    </row>
    <row r="410" spans="63:63" x14ac:dyDescent="0.15">
      <c r="BK410" s="1"/>
    </row>
    <row r="554" spans="63:63" x14ac:dyDescent="0.15">
      <c r="BK554" s="1"/>
    </row>
    <row r="555" spans="63:63" x14ac:dyDescent="0.15">
      <c r="BK555" s="1"/>
    </row>
    <row r="556" spans="63:63" x14ac:dyDescent="0.15">
      <c r="BK556" s="1"/>
    </row>
    <row r="560" spans="63:63" x14ac:dyDescent="0.15">
      <c r="BK560" s="1"/>
    </row>
    <row r="561" spans="63:63" x14ac:dyDescent="0.15">
      <c r="BK561" s="1"/>
    </row>
    <row r="562" spans="63:63" x14ac:dyDescent="0.15">
      <c r="BK562" s="1"/>
    </row>
    <row r="563" spans="63:63" x14ac:dyDescent="0.15">
      <c r="BK563" s="1"/>
    </row>
    <row r="564" spans="63:63" x14ac:dyDescent="0.15">
      <c r="BK564" s="1"/>
    </row>
    <row r="649" spans="70:72" x14ac:dyDescent="0.15">
      <c r="BT649" s="1"/>
    </row>
    <row r="651" spans="70:72" x14ac:dyDescent="0.15">
      <c r="BS651" s="1"/>
    </row>
    <row r="655" spans="70:72" x14ac:dyDescent="0.15">
      <c r="BR655" s="1"/>
    </row>
    <row r="681" spans="63:63" x14ac:dyDescent="0.15">
      <c r="BK681" s="11"/>
    </row>
    <row r="682" spans="63:63" x14ac:dyDescent="0.15">
      <c r="BK682" s="11"/>
    </row>
    <row r="745" spans="70:70" x14ac:dyDescent="0.15">
      <c r="BR745" s="1"/>
    </row>
  </sheetData>
  <sheetProtection algorithmName="SHA-512" hashValue="0IVTCWg5AtCIoULZYMsiCHaSgb6BKnJmgB//Phemd8nx0AS7eHCPQfPfMkq+EC4Fnfxzjo+mxcdKS0FRcml79Q==" saltValue="X6iOLEQxYhI7CTPVCmSfMQ==" spinCount="100000" sheet="1" objects="1" scenarios="1"/>
  <autoFilter ref="BT1:BX70" xr:uid="{C2B824B5-BE99-4A10-8CA1-D49D0E676565}"/>
  <sortState xmlns:xlrd2="http://schemas.microsoft.com/office/spreadsheetml/2017/richdata2" ref="BC2:BH220">
    <sortCondition ref="BC2:BC220"/>
  </sortState>
  <phoneticPr fontId="20" type="noConversion"/>
  <pageMargins left="0.7" right="0.7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803B61C31DB94EBF1011BAC4EDB25B" ma:contentTypeVersion="4" ma:contentTypeDescription="Crée un document." ma:contentTypeScope="" ma:versionID="1f449c2963e515777feddd8a075c0b71">
  <xsd:schema xmlns:xsd="http://www.w3.org/2001/XMLSchema" xmlns:xs="http://www.w3.org/2001/XMLSchema" xmlns:p="http://schemas.microsoft.com/office/2006/metadata/properties" xmlns:ns2="6ac14007-aa17-4338-b488-744973a26abb" xmlns:ns3="b4b64d04-69a0-4e2a-bf17-754445724647" targetNamespace="http://schemas.microsoft.com/office/2006/metadata/properties" ma:root="true" ma:fieldsID="66252d503dc2aec5111343393665108d" ns2:_="" ns3:_="">
    <xsd:import namespace="6ac14007-aa17-4338-b488-744973a26abb"/>
    <xsd:import namespace="b4b64d04-69a0-4e2a-bf17-7544457246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14007-aa17-4338-b488-744973a26a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64d04-69a0-4e2a-bf17-754445724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D3507-3C3E-4C5D-AEBE-77DCC10D2947}">
  <ds:schemaRefs/>
</ds:datastoreItem>
</file>

<file path=customXml/itemProps2.xml><?xml version="1.0" encoding="utf-8"?>
<ds:datastoreItem xmlns:ds="http://schemas.openxmlformats.org/officeDocument/2006/customXml" ds:itemID="{C6D62183-A7F2-45D3-9CB8-5EBF8639CE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60D35-1340-490A-9F4D-EFA0255F4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14007-aa17-4338-b488-744973a26abb"/>
    <ds:schemaRef ds:uri="b4b64d04-69a0-4e2a-bf17-754445724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AA9031-53F6-43F0-95C3-9D84D0F8202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57</vt:i4>
      </vt:variant>
    </vt:vector>
  </HeadingPairs>
  <TitlesOfParts>
    <vt:vector size="59" baseType="lpstr">
      <vt:lpstr>FPI MODELE 2025</vt:lpstr>
      <vt:lpstr>DATA</vt:lpstr>
      <vt:lpstr>bonus_A</vt:lpstr>
      <vt:lpstr>bonus_B</vt:lpstr>
      <vt:lpstr>bonus_C</vt:lpstr>
      <vt:lpstr>Choix_de_la_filière</vt:lpstr>
      <vt:lpstr>Elements_liste</vt:lpstr>
      <vt:lpstr>Elements_nature</vt:lpstr>
      <vt:lpstr>Elements_nom</vt:lpstr>
      <vt:lpstr>Elements_valeurs_N1</vt:lpstr>
      <vt:lpstr>Elements_valeurs_N2</vt:lpstr>
      <vt:lpstr>Elements_valeurs_N3</vt:lpstr>
      <vt:lpstr>Engagt_filière</vt:lpstr>
      <vt:lpstr>Engagt_liste</vt:lpstr>
      <vt:lpstr>Engagt_N1</vt:lpstr>
      <vt:lpstr>Engagt_N2</vt:lpstr>
      <vt:lpstr>Engagt_N3</vt:lpstr>
      <vt:lpstr>Engagt_nom</vt:lpstr>
      <vt:lpstr>Engagt_valeur</vt:lpstr>
      <vt:lpstr>FILIERE</vt:lpstr>
      <vt:lpstr>MG_N1</vt:lpstr>
      <vt:lpstr>MG_N2</vt:lpstr>
      <vt:lpstr>MG_N3</vt:lpstr>
      <vt:lpstr>MGH_N1</vt:lpstr>
      <vt:lpstr>MGH_N2</vt:lpstr>
      <vt:lpstr>MGH_N3</vt:lpstr>
      <vt:lpstr>MGH_VALEUR_N1</vt:lpstr>
      <vt:lpstr>MGH_VALEUR_N2</vt:lpstr>
      <vt:lpstr>MGH_VALEUR_N3</vt:lpstr>
      <vt:lpstr>MGL_N1</vt:lpstr>
      <vt:lpstr>MGL_VALEUR_N1</vt:lpstr>
      <vt:lpstr>MGV_N1</vt:lpstr>
      <vt:lpstr>MGV_N2</vt:lpstr>
      <vt:lpstr>MGV_N3</vt:lpstr>
      <vt:lpstr>MGV_VALEUR_N1</vt:lpstr>
      <vt:lpstr>MGV_VALEUR_N2</vt:lpstr>
      <vt:lpstr>MGV_VALEUR_N3</vt:lpstr>
      <vt:lpstr>Nationale_3</vt:lpstr>
      <vt:lpstr>Rattr_filière</vt:lpstr>
      <vt:lpstr>Rattr_liste</vt:lpstr>
      <vt:lpstr>Rattr_N1</vt:lpstr>
      <vt:lpstr>Rattr_N2</vt:lpstr>
      <vt:lpstr>Rattr_N3</vt:lpstr>
      <vt:lpstr>Rattr_nom</vt:lpstr>
      <vt:lpstr>Rattr_valeur_H</vt:lpstr>
      <vt:lpstr>Rattr_valeur_V</vt:lpstr>
      <vt:lpstr>RH_N1</vt:lpstr>
      <vt:lpstr>RH_N2</vt:lpstr>
      <vt:lpstr>RH_N3</vt:lpstr>
      <vt:lpstr>RH_VALEUR_N1</vt:lpstr>
      <vt:lpstr>RH_VALEUR_N2</vt:lpstr>
      <vt:lpstr>RH_VALEUR_N3</vt:lpstr>
      <vt:lpstr>RV_N1</vt:lpstr>
      <vt:lpstr>RV_N2</vt:lpstr>
      <vt:lpstr>RV_N3</vt:lpstr>
      <vt:lpstr>RV_VALEUR_N1</vt:lpstr>
      <vt:lpstr>RV_VALEUR_N2</vt:lpstr>
      <vt:lpstr>RV_VALEUR_N3</vt:lpstr>
      <vt:lpstr>'FPI MODELE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LAMANT</dc:creator>
  <cp:lastModifiedBy>MORAN Prescillia</cp:lastModifiedBy>
  <cp:lastPrinted>2024-12-02T20:50:16Z</cp:lastPrinted>
  <dcterms:created xsi:type="dcterms:W3CDTF">2019-01-03T15:05:07Z</dcterms:created>
  <dcterms:modified xsi:type="dcterms:W3CDTF">2024-12-08T09:59:46Z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0x01010086803B61C31DB94EBF1011BAC4EDB25B</vt:lpwstr>
  </property>
</Properties>
</file>